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360" yWindow="135" windowWidth="16515" windowHeight="13170"/>
  </bookViews>
  <sheets>
    <sheet name="Productivity Calculator" sheetId="1" r:id="rId1"/>
    <sheet name="Listen" sheetId="2" state="hidden" r:id="rId2"/>
  </sheets>
  <definedNames>
    <definedName name="_10_2011__Image_Access__all_rights_reserved." localSheetId="1">"R2"</definedName>
    <definedName name="_2011_Image_Access._Click_here_to_see_scanner">'Productivity Calculator'!$D$11</definedName>
    <definedName name="Buchstabe">'Productivity Calculator'!#REF!</definedName>
    <definedName name="_xlnm.Print_Area" localSheetId="0">'Productivity Calculator'!$A$1:$G$34</definedName>
    <definedName name="seconds">'Productivity Calculator'!#REF!</definedName>
  </definedNames>
  <calcPr calcId="144525"/>
</workbook>
</file>

<file path=xl/calcChain.xml><?xml version="1.0" encoding="utf-8"?>
<calcChain xmlns="http://schemas.openxmlformats.org/spreadsheetml/2006/main">
  <c r="D11" i="1" l="1"/>
  <c r="A8" i="2" l="1"/>
  <c r="J11" i="2" l="1"/>
  <c r="J7" i="2"/>
  <c r="J3" i="2"/>
  <c r="D11" i="2"/>
  <c r="D5" i="2"/>
  <c r="J10" i="2"/>
  <c r="J6" i="2"/>
  <c r="J2" i="2"/>
  <c r="D10" i="2"/>
  <c r="D4" i="2"/>
  <c r="J5" i="2"/>
  <c r="D9" i="2"/>
  <c r="D6" i="2"/>
  <c r="D2" i="2"/>
  <c r="J9" i="2"/>
  <c r="D7" i="2"/>
  <c r="D3" i="2"/>
  <c r="J8" i="2"/>
  <c r="J4" i="2"/>
  <c r="D8" i="2"/>
  <c r="S19" i="2"/>
  <c r="H12" i="2"/>
  <c r="E19" i="2"/>
  <c r="E17" i="2"/>
  <c r="E15" i="2"/>
  <c r="E13" i="2"/>
  <c r="I12" i="2"/>
  <c r="E18" i="2"/>
  <c r="E16" i="2"/>
  <c r="E14" i="2"/>
  <c r="E12" i="2"/>
  <c r="O3" i="2"/>
  <c r="N4" i="2"/>
  <c r="O4" i="2"/>
  <c r="Q4" i="2"/>
  <c r="S4" i="2"/>
  <c r="L4" i="2"/>
  <c r="E10" i="2"/>
  <c r="L7" i="2"/>
  <c r="L8" i="2"/>
  <c r="M6" i="2"/>
  <c r="M10" i="2"/>
  <c r="O8" i="2"/>
  <c r="R6" i="2"/>
  <c r="R10" i="2"/>
  <c r="S8" i="2"/>
  <c r="N5" i="2"/>
  <c r="Q5" i="2"/>
  <c r="S5" i="2"/>
  <c r="L5" i="2"/>
  <c r="E4" i="2"/>
  <c r="L9" i="2"/>
  <c r="M7" i="2"/>
  <c r="M11" i="2"/>
  <c r="O9" i="2"/>
  <c r="R7" i="2"/>
  <c r="R11" i="2"/>
  <c r="S9" i="2"/>
  <c r="O5" i="2"/>
  <c r="N2" i="2"/>
  <c r="O2" i="2"/>
  <c r="Q2" i="2"/>
  <c r="S2" i="2"/>
  <c r="L2" i="2"/>
  <c r="E6" i="2"/>
  <c r="E2" i="2"/>
  <c r="L10" i="2"/>
  <c r="M8" i="2"/>
  <c r="O6" i="2"/>
  <c r="O10" i="2"/>
  <c r="R8" i="2"/>
  <c r="S6" i="2"/>
  <c r="S10" i="2"/>
  <c r="N3" i="2"/>
  <c r="Q3" i="2"/>
  <c r="S3" i="2"/>
  <c r="L3" i="2"/>
  <c r="E8" i="2"/>
  <c r="L6" i="2"/>
  <c r="L11" i="2"/>
  <c r="M9" i="2"/>
  <c r="O7" i="2"/>
  <c r="O11" i="2"/>
  <c r="R9" i="2"/>
  <c r="S7" i="2"/>
  <c r="S11" i="2"/>
  <c r="I2" i="2"/>
  <c r="I10" i="2"/>
  <c r="I4" i="2"/>
  <c r="I6" i="2"/>
  <c r="I8" i="2"/>
  <c r="D17" i="2"/>
  <c r="O13" i="2"/>
  <c r="R13" i="2"/>
  <c r="S13" i="2"/>
  <c r="S17" i="2"/>
  <c r="D12" i="2"/>
  <c r="L16" i="2"/>
  <c r="M16" i="2"/>
  <c r="O12" i="2"/>
  <c r="P12" i="2"/>
  <c r="R12" i="2"/>
  <c r="S16" i="2"/>
  <c r="M13" i="2"/>
  <c r="N17" i="2"/>
  <c r="P13" i="2"/>
  <c r="D14" i="2"/>
  <c r="J12" i="2"/>
  <c r="L18" i="2"/>
  <c r="N18" i="2"/>
  <c r="O18" i="2"/>
  <c r="P14" i="2"/>
  <c r="R14" i="2"/>
  <c r="S14" i="2"/>
  <c r="S18" i="2"/>
  <c r="D16" i="2"/>
  <c r="L12" i="2"/>
  <c r="M12" i="2"/>
  <c r="N16" i="2"/>
  <c r="O16" i="2"/>
  <c r="Q16" i="2"/>
  <c r="S12" i="2"/>
  <c r="D13" i="2"/>
  <c r="L13" i="2"/>
  <c r="L17" i="2"/>
  <c r="M17" i="2"/>
  <c r="O17" i="2"/>
  <c r="Q17" i="2"/>
  <c r="D18" i="2"/>
  <c r="L14" i="2"/>
  <c r="M14" i="2"/>
  <c r="M18" i="2"/>
  <c r="O14" i="2"/>
  <c r="Q18" i="2"/>
  <c r="D15" i="2"/>
  <c r="D19" i="2"/>
  <c r="J18" i="2"/>
  <c r="L15" i="2"/>
  <c r="L19" i="2"/>
  <c r="M15" i="2"/>
  <c r="M19" i="2"/>
  <c r="N19" i="2"/>
  <c r="O15" i="2"/>
  <c r="O19" i="2"/>
  <c r="P15" i="2"/>
  <c r="Q19" i="2"/>
  <c r="R15" i="2"/>
  <c r="S15" i="2"/>
  <c r="D4" i="1" l="1"/>
  <c r="G13" i="1"/>
  <c r="B13" i="1"/>
  <c r="A13" i="1"/>
  <c r="E10" i="1" l="1"/>
  <c r="E15" i="1" l="1"/>
  <c r="N13" i="2" l="1"/>
  <c r="N14" i="2" s="1"/>
  <c r="N15" i="2" s="1"/>
  <c r="B21" i="1"/>
  <c r="B19" i="1"/>
  <c r="B18" i="1"/>
  <c r="B17" i="1"/>
  <c r="B15" i="1"/>
  <c r="E3" i="1" l="1"/>
  <c r="E4" i="1"/>
  <c r="C4" i="1"/>
  <c r="B10" i="1"/>
  <c r="F15" i="1"/>
  <c r="B14" i="1"/>
  <c r="A18" i="1" l="1"/>
  <c r="G18" i="1" s="1"/>
  <c r="E18" i="1"/>
  <c r="F18" i="1" s="1"/>
  <c r="E6" i="1" l="1"/>
  <c r="A15" i="1" l="1"/>
  <c r="G22" i="1"/>
  <c r="I13" i="2"/>
  <c r="I14" i="2" s="1"/>
  <c r="I15" i="2" s="1"/>
  <c r="I16" i="2" s="1"/>
  <c r="I17" i="2" s="1"/>
  <c r="I18" i="2" s="1"/>
  <c r="I19" i="2" s="1"/>
  <c r="E21" i="1" l="1"/>
  <c r="F21" i="1" s="1"/>
  <c r="E20" i="1"/>
  <c r="F20" i="1" s="1"/>
  <c r="E19" i="1"/>
  <c r="F19" i="1" s="1"/>
  <c r="E17" i="1"/>
  <c r="F17" i="1" s="1"/>
  <c r="E16" i="1"/>
  <c r="F16" i="1" s="1"/>
  <c r="E14" i="1"/>
  <c r="F14" i="1" s="1"/>
  <c r="G24" i="1"/>
  <c r="B20" i="1"/>
  <c r="B16" i="1"/>
  <c r="A21" i="1"/>
  <c r="G21" i="1" s="1"/>
  <c r="A20" i="1"/>
  <c r="G20" i="1" s="1"/>
  <c r="A19" i="1"/>
  <c r="G19" i="1" s="1"/>
  <c r="A17" i="1"/>
  <c r="G17" i="1" s="1"/>
  <c r="A16" i="1"/>
  <c r="G16" i="1" s="1"/>
  <c r="G15" i="1"/>
  <c r="A14" i="1"/>
  <c r="G14" i="1" s="1"/>
  <c r="G11" i="1"/>
  <c r="B22" i="1" l="1"/>
  <c r="F22" i="1"/>
  <c r="J13" i="2"/>
  <c r="A10" i="1"/>
  <c r="G10" i="1" s="1"/>
  <c r="F7" i="1"/>
  <c r="A9" i="1"/>
  <c r="G9" i="1" s="1"/>
  <c r="A8" i="1"/>
  <c r="G8" i="1" s="1"/>
  <c r="A7" i="1"/>
  <c r="G7" i="1" s="1"/>
  <c r="A6" i="1"/>
  <c r="F3" i="1"/>
  <c r="F13" i="1" s="1"/>
  <c r="B9" i="1"/>
  <c r="B8" i="1"/>
  <c r="H13" i="2"/>
  <c r="H14" i="2" s="1"/>
  <c r="H15" i="2" s="1"/>
  <c r="H16" i="2" s="1"/>
  <c r="H17" i="2" s="1"/>
  <c r="H18" i="2" s="1"/>
  <c r="H19" i="2" s="1"/>
  <c r="F8" i="1" s="1"/>
  <c r="F6" i="1"/>
  <c r="B7" i="1"/>
  <c r="G4" i="1"/>
  <c r="B6" i="1"/>
  <c r="F9" i="1" l="1"/>
  <c r="J14" i="2"/>
  <c r="J15" i="2" s="1"/>
  <c r="J16" i="2" s="1"/>
  <c r="J17" i="2" s="1"/>
  <c r="F10" i="1" s="1"/>
  <c r="F5" i="1"/>
  <c r="B5" i="1"/>
  <c r="B11" i="1" s="1"/>
  <c r="B24" i="1" s="1"/>
  <c r="F11" i="1" l="1"/>
  <c r="F24" i="1" s="1"/>
  <c r="G5" i="1" l="1"/>
  <c r="G6" i="1" l="1"/>
</calcChain>
</file>

<file path=xl/comments1.xml><?xml version="1.0" encoding="utf-8"?>
<comments xmlns="http://schemas.openxmlformats.org/spreadsheetml/2006/main">
  <authors>
    <author>ingeth</author>
    <author>Thomas Ingendoh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ingeth:</t>
        </r>
        <r>
          <rPr>
            <sz val="9"/>
            <color indexed="81"/>
            <rFont val="Tahoma"/>
            <family val="2"/>
          </rPr>
          <t xml:space="preserve">
http://www.wholesalescanners.com/</t>
        </r>
      </text>
    </comment>
    <comment ref="D12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Spigraph EUR pricing
Allied GBP pricing
Azon USD pricing</t>
        </r>
      </text>
    </comment>
    <comment ref="E12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USD Pricing Azon</t>
        </r>
      </text>
    </comment>
    <comment ref="H12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USD Pricing Azon</t>
        </r>
      </text>
    </comment>
    <comment ref="I12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USD Pricing Azon</t>
        </r>
      </text>
    </comment>
    <comment ref="J12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USD Pricing Azon</t>
        </r>
      </text>
    </comment>
    <comment ref="L12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USD Pricing Azon</t>
        </r>
      </text>
    </comment>
    <comment ref="D13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Spigraph EUR pricing
Allied GBP pricing
Azon USD pricing</t>
        </r>
      </text>
    </comment>
    <comment ref="E13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USD Pricing Azon</t>
        </r>
      </text>
    </comment>
    <comment ref="L13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USD Pricing Azon</t>
        </r>
      </text>
    </comment>
    <comment ref="D14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Spigraph EUR pricing
Allied GBP pricing
Azon USD pricing</t>
        </r>
      </text>
    </comment>
    <comment ref="E14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USD Pricing Azon</t>
        </r>
      </text>
    </comment>
    <comment ref="L14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USD Pricing Azon</t>
        </r>
      </text>
    </comment>
    <comment ref="D15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Spigraph EUR pricing
Allied GBP pricing
Azon USD pricing</t>
        </r>
      </text>
    </comment>
    <comment ref="E15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USD Pricing Azon</t>
        </r>
      </text>
    </comment>
    <comment ref="L15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USD Pricing Azon</t>
        </r>
      </text>
    </comment>
    <comment ref="D16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Spigraph EUR pricing
Allied GBP pricing
Azon USD pricing</t>
        </r>
      </text>
    </comment>
    <comment ref="E16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USD Pricing Azon</t>
        </r>
      </text>
    </comment>
    <comment ref="L16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USD Pricing Azon</t>
        </r>
      </text>
    </comment>
    <comment ref="D17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Spigraph EUR pricing
Allied GBP pricing
Azon USD pricing</t>
        </r>
      </text>
    </comment>
    <comment ref="E17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USD Pricing Azon</t>
        </r>
      </text>
    </comment>
    <comment ref="L17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USD Pricing Azon</t>
        </r>
      </text>
    </comment>
    <comment ref="D18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Spigraph EUR pricing
Allied GBP pricing
Azon USD pricing</t>
        </r>
      </text>
    </comment>
    <comment ref="E18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USD Pricing Azon</t>
        </r>
      </text>
    </comment>
    <comment ref="J18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USD Pricing Azon</t>
        </r>
      </text>
    </comment>
    <comment ref="L18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USD Pricing Azon</t>
        </r>
      </text>
    </comment>
    <comment ref="D19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Spigraph EUR pricing
Allied GBP pricing
Azon USD pricing
</t>
        </r>
      </text>
    </comment>
    <comment ref="E19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USD Pricing Azon</t>
        </r>
      </text>
    </comment>
    <comment ref="L19" authorId="1">
      <text>
        <r>
          <rPr>
            <b/>
            <sz val="9"/>
            <color indexed="81"/>
            <rFont val="Tahoma"/>
            <family val="2"/>
          </rPr>
          <t>Thomas Ingendoh:</t>
        </r>
        <r>
          <rPr>
            <sz val="9"/>
            <color indexed="81"/>
            <rFont val="Tahoma"/>
            <family val="2"/>
          </rPr>
          <t xml:space="preserve">
USD Pricing Azon</t>
        </r>
      </text>
    </comment>
  </commentList>
</comments>
</file>

<file path=xl/sharedStrings.xml><?xml version="1.0" encoding="utf-8"?>
<sst xmlns="http://schemas.openxmlformats.org/spreadsheetml/2006/main" count="156" uniqueCount="88">
  <si>
    <t>Scanner</t>
  </si>
  <si>
    <t>Image Access</t>
  </si>
  <si>
    <t>Contex</t>
  </si>
  <si>
    <t>Technology</t>
  </si>
  <si>
    <t>Vendor</t>
  </si>
  <si>
    <t>CCD</t>
  </si>
  <si>
    <t>CIS</t>
  </si>
  <si>
    <t>SD 3650+</t>
  </si>
  <si>
    <t>SD 3690+</t>
  </si>
  <si>
    <t>Price USD</t>
  </si>
  <si>
    <t>http://www.cadcam.org/scanners/contex/buy-contex-hd-ultra-scanner.php</t>
  </si>
  <si>
    <t>Floorstand</t>
  </si>
  <si>
    <t>Ethernet</t>
  </si>
  <si>
    <t>Software</t>
  </si>
  <si>
    <t>Select</t>
  </si>
  <si>
    <t>Yes</t>
  </si>
  <si>
    <t>No</t>
  </si>
  <si>
    <t>Mandatory</t>
  </si>
  <si>
    <t>Build in</t>
  </si>
  <si>
    <t>Factor</t>
  </si>
  <si>
    <t>Scanner Model</t>
  </si>
  <si>
    <t>Retail Price</t>
  </si>
  <si>
    <t>Base Unit</t>
  </si>
  <si>
    <t>0,9 = n/a</t>
  </si>
  <si>
    <t>This is the retail price of the base unit. There are more options, some of them are mandatory, some are optional.</t>
  </si>
  <si>
    <t>Power Supply</t>
  </si>
  <si>
    <t>CIS module</t>
  </si>
  <si>
    <t>Camera</t>
  </si>
  <si>
    <t>http://usaparts.contex.com/</t>
  </si>
  <si>
    <t>Annual Cost</t>
  </si>
  <si>
    <t xml:space="preserve">Initial Purchasing Cost </t>
  </si>
  <si>
    <t>Total</t>
  </si>
  <si>
    <t>Main Controller</t>
  </si>
  <si>
    <t>A camera failure is rare and should normally be treated as a warranty case. If your vendor does not do so,  enter a factor of 30% over the 5 year period.</t>
  </si>
  <si>
    <t>Glass Plate</t>
  </si>
  <si>
    <t>Most scanners can be operated without a floorstand. A floorstand usually comes with a document catch and increases productivity.</t>
  </si>
  <si>
    <t>1 Gigabit TCP/IP network interface for data and control. Firewire and USB 2.0, 3.0 are not appropriate for production scanners.</t>
  </si>
  <si>
    <t>Class</t>
  </si>
  <si>
    <t>Calibration Sheets</t>
  </si>
  <si>
    <t>This is the lowest cost software necessary to operate the scanner. If "no" can be selected, the scanner can be operated without external software.</t>
  </si>
  <si>
    <t>Most scanners need an external PC to run the scanner. The cost of the external PC, TFT, Software etc. is often ignored in the cost breakdown.</t>
  </si>
  <si>
    <t>Calibration sheets are consumables. They are exposed to wear and tear and also tend to get lost or destroyed. Assume a minimum of one set every two years.</t>
  </si>
  <si>
    <t>Depending on the design of the scanner and it´s usage, pressure rollers might wear out earlier than expected. For heavy use, assume at least two replacements in 5 years.</t>
  </si>
  <si>
    <t>CIS modules have the illumation system built in. This increases the risk of failure. Although vendors specify no failure during lifetime, assuming 30% per scanner is safe.</t>
  </si>
  <si>
    <t>The most complex part of the scanner is the main controller board. To be safe, add one replacement in five years for every two scanners.</t>
  </si>
  <si>
    <t>Lamp Modul</t>
  </si>
  <si>
    <t>If the scanner still uses fluorecent lamps, expect a minimum of two replacements in five years. LED based scanners typically have a lamp life time exceeding 5 years.</t>
  </si>
  <si>
    <t>On Site Service</t>
  </si>
  <si>
    <t>Incl.</t>
  </si>
  <si>
    <t>Pressure Rollers, Plates</t>
  </si>
  <si>
    <t>External PC</t>
  </si>
  <si>
    <t>Extended warranty including On-Site service, support calls and software / firmware updates. Put in the number of years of coverage.</t>
  </si>
  <si>
    <t>The power supply is exposed to potentially destructive external conditions like overvoltage, excessive heat etc.  Calculate one failure in five years.</t>
  </si>
  <si>
    <t>Depending on the design of the scanner and it´s usage, glass plates might wear out earlier than expected. For heavy use, assume at least three replacements in five years.</t>
  </si>
  <si>
    <r>
      <t xml:space="preserve">Wide Format Scanner   </t>
    </r>
    <r>
      <rPr>
        <b/>
        <sz val="24"/>
        <color rgb="FF0070C0"/>
        <rFont val="Calibri"/>
        <family val="2"/>
        <scheme val="minor"/>
      </rPr>
      <t>Total Cost of Ownership Calculator</t>
    </r>
  </si>
  <si>
    <r>
      <t>Annual</t>
    </r>
    <r>
      <rPr>
        <b/>
        <sz val="18"/>
        <color rgb="FF0070C0"/>
        <rFont val="Calibri"/>
        <family val="2"/>
        <scheme val="minor"/>
      </rPr>
      <t xml:space="preserve"> TCO </t>
    </r>
    <r>
      <rPr>
        <b/>
        <sz val="18"/>
        <rFont val="Calibri"/>
        <family val="2"/>
        <scheme val="minor"/>
      </rPr>
      <t>Over a Period of 5 Years</t>
    </r>
  </si>
  <si>
    <t>Consumables and Spare Parts Over a Period of 5 Years</t>
  </si>
  <si>
    <t>IQ 4450</t>
  </si>
  <si>
    <t>IQ 4490</t>
  </si>
  <si>
    <t>Data revised</t>
  </si>
  <si>
    <t>HD Ultra i3650s Pro</t>
  </si>
  <si>
    <t>HD Ultra i3690s Pro</t>
  </si>
  <si>
    <t>HD Ultra i4250s Pro</t>
  </si>
  <si>
    <t>HD Ultra i4290s Pro</t>
  </si>
  <si>
    <t>Currency</t>
  </si>
  <si>
    <t>EUR</t>
  </si>
  <si>
    <t>USD</t>
  </si>
  <si>
    <t>12.02.14 TI</t>
  </si>
  <si>
    <t>WT36C-600</t>
  </si>
  <si>
    <t>WT36C-600-BDL</t>
  </si>
  <si>
    <t>WT48C-600</t>
  </si>
  <si>
    <t>WT48C-600-BDL</t>
  </si>
  <si>
    <t>Selected</t>
  </si>
  <si>
    <t>GBP</t>
  </si>
  <si>
    <t>List</t>
  </si>
  <si>
    <t>9600dpi</t>
  </si>
  <si>
    <t>http://www.imageaccess.de/index.php?lang=en&amp;page=ScannersWT36C-600</t>
  </si>
  <si>
    <t>http://www.imageaccess.de/index.php?lang=en&amp;page=ScannersWT48C-600</t>
  </si>
  <si>
    <t>WT36-600</t>
  </si>
  <si>
    <t>WT36-600-BDL</t>
  </si>
  <si>
    <t>WT44-600</t>
  </si>
  <si>
    <t>WT44-600-BDL</t>
  </si>
  <si>
    <t>WT48-600</t>
  </si>
  <si>
    <t>WT48-600-BDL</t>
  </si>
  <si>
    <t>Last update:   March of 2015</t>
  </si>
  <si>
    <t>http://www.imageaccess.us/index.php?lang=en&amp;page=ScannersWT36-600</t>
  </si>
  <si>
    <t>http://www.imageaccess.us/index.php?lang=en&amp;page=ScannersWT44-600</t>
  </si>
  <si>
    <t>http://www.imageaccess.us/index.php?lang=en&amp;page=ScannersWT48-600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</si>
</sst>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"/>
    <numFmt numFmtId="166" formatCode="#,##0\ _€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8"/>
      <color rgb="FFCC0000"/>
      <name val="Calibri"/>
      <family val="2"/>
      <scheme val="minor"/>
    </font>
    <font>
      <sz val="14"/>
      <name val="Calibri"/>
      <family val="2"/>
      <scheme val="minor"/>
    </font>
    <font>
      <b/>
      <sz val="20"/>
      <color rgb="FFCC000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6FAFE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70C0"/>
      </left>
      <right style="thin">
        <color auto="1"/>
      </right>
      <top style="medium">
        <color rgb="FF007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70C0"/>
      </top>
      <bottom style="thin">
        <color auto="1"/>
      </bottom>
      <diagonal/>
    </border>
    <border>
      <left style="thin">
        <color auto="1"/>
      </left>
      <right style="medium">
        <color rgb="FF0070C0"/>
      </right>
      <top style="medium">
        <color rgb="FF0070C0"/>
      </top>
      <bottom style="thin">
        <color auto="1"/>
      </bottom>
      <diagonal/>
    </border>
    <border>
      <left style="medium">
        <color rgb="FF0070C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70C0"/>
      </right>
      <top style="thin">
        <color auto="1"/>
      </top>
      <bottom style="thin">
        <color auto="1"/>
      </bottom>
      <diagonal/>
    </border>
    <border>
      <left style="medium">
        <color rgb="FF0070C0"/>
      </left>
      <right style="thin">
        <color auto="1"/>
      </right>
      <top style="thin">
        <color auto="1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70C0"/>
      </bottom>
      <diagonal/>
    </border>
    <border>
      <left style="thin">
        <color auto="1"/>
      </left>
      <right style="medium">
        <color rgb="FF0070C0"/>
      </right>
      <top style="thin">
        <color auto="1"/>
      </top>
      <bottom style="medium">
        <color rgb="FF0070C0"/>
      </bottom>
      <diagonal/>
    </border>
    <border>
      <left style="medium">
        <color rgb="FFFF99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9900"/>
      </right>
      <top style="thin">
        <color auto="1"/>
      </top>
      <bottom style="thin">
        <color auto="1"/>
      </bottom>
      <diagonal/>
    </border>
    <border>
      <left style="medium">
        <color rgb="FFFF9900"/>
      </left>
      <right style="thin">
        <color auto="1"/>
      </right>
      <top style="thin">
        <color auto="1"/>
      </top>
      <bottom style="medium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9900"/>
      </bottom>
      <diagonal/>
    </border>
    <border>
      <left style="thin">
        <color auto="1"/>
      </left>
      <right style="medium">
        <color rgb="FFFF9900"/>
      </right>
      <top style="thin">
        <color auto="1"/>
      </top>
      <bottom style="medium">
        <color rgb="FFFF99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FF9900"/>
      </bottom>
      <diagonal/>
    </border>
    <border>
      <left style="medium">
        <color rgb="FFFF99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rgb="FFFF9900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4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Protection="1"/>
    <xf numFmtId="0" fontId="0" fillId="0" borderId="0" xfId="0" applyBorder="1" applyAlignment="1">
      <alignment wrapText="1"/>
    </xf>
    <xf numFmtId="0" fontId="3" fillId="2" borderId="4" xfId="0" applyFont="1" applyFill="1" applyBorder="1" applyAlignment="1" applyProtection="1">
      <alignment horizontal="left" vertical="center" wrapText="1" indent="1"/>
    </xf>
    <xf numFmtId="0" fontId="3" fillId="2" borderId="5" xfId="0" applyFont="1" applyFill="1" applyBorder="1" applyAlignment="1" applyProtection="1">
      <alignment horizontal="left" vertical="center" wrapText="1" indent="1"/>
    </xf>
    <xf numFmtId="0" fontId="3" fillId="2" borderId="6" xfId="0" applyFont="1" applyFill="1" applyBorder="1" applyAlignment="1" applyProtection="1">
      <alignment horizontal="left" vertical="center" wrapText="1" indent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horizontal="left" vertical="center" wrapText="1" indent="1"/>
    </xf>
    <xf numFmtId="0" fontId="0" fillId="0" borderId="16" xfId="0" applyBorder="1" applyProtection="1"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2" fontId="1" fillId="0" borderId="0" xfId="0" applyNumberFormat="1" applyFont="1" applyBorder="1" applyAlignment="1" applyProtection="1">
      <alignment horizontal="center" vertical="center"/>
      <protection hidden="1"/>
    </xf>
    <xf numFmtId="2" fontId="1" fillId="0" borderId="18" xfId="0" applyNumberFormat="1" applyFont="1" applyBorder="1" applyAlignment="1" applyProtection="1">
      <alignment horizontal="center" vertical="center"/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24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Protection="1">
      <protection hidden="1"/>
    </xf>
    <xf numFmtId="0" fontId="0" fillId="0" borderId="16" xfId="0" applyBorder="1" applyAlignment="1" applyProtection="1">
      <alignment horizontal="right"/>
      <protection hidden="1"/>
    </xf>
    <xf numFmtId="2" fontId="1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7" fillId="0" borderId="0" xfId="1" applyBorder="1" applyProtection="1"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1" xfId="0" applyBorder="1" applyProtection="1">
      <protection hidden="1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right"/>
      <protection hidden="1"/>
    </xf>
    <xf numFmtId="0" fontId="0" fillId="0" borderId="32" xfId="0" applyBorder="1" applyAlignment="1" applyProtection="1">
      <protection locked="0"/>
    </xf>
    <xf numFmtId="0" fontId="7" fillId="0" borderId="32" xfId="1" applyNumberFormat="1" applyBorder="1" applyAlignment="1" applyProtection="1">
      <alignment horizontal="center" vertical="center" wrapText="1"/>
      <protection locked="0" hidden="1"/>
    </xf>
    <xf numFmtId="0" fontId="10" fillId="2" borderId="3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Protection="1"/>
    <xf numFmtId="2" fontId="2" fillId="2" borderId="9" xfId="0" applyNumberFormat="1" applyFont="1" applyFill="1" applyBorder="1" applyAlignment="1" applyProtection="1">
      <alignment horizontal="left" vertical="center" wrapText="1" indent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11" fillId="0" borderId="33" xfId="0" applyFont="1" applyBorder="1" applyProtection="1"/>
    <xf numFmtId="0" fontId="0" fillId="0" borderId="32" xfId="0" applyBorder="1" applyAlignment="1" applyProtection="1"/>
    <xf numFmtId="0" fontId="0" fillId="0" borderId="17" xfId="0" applyBorder="1" applyAlignment="1" applyProtection="1"/>
    <xf numFmtId="165" fontId="5" fillId="0" borderId="4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164" fontId="0" fillId="0" borderId="0" xfId="0" applyNumberFormat="1" applyBorder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 applyProtection="1">
      <alignment horizontal="left" vertical="center" wrapText="1" indent="1"/>
    </xf>
    <xf numFmtId="0" fontId="14" fillId="2" borderId="14" xfId="0" applyFont="1" applyFill="1" applyBorder="1" applyAlignment="1" applyProtection="1">
      <alignment horizontal="left" vertical="center" wrapText="1" indent="1"/>
    </xf>
    <xf numFmtId="2" fontId="14" fillId="2" borderId="8" xfId="0" applyNumberFormat="1" applyFont="1" applyFill="1" applyBorder="1" applyAlignment="1" applyProtection="1">
      <alignment horizontal="left" vertical="center" wrapText="1" indent="1"/>
    </xf>
    <xf numFmtId="2" fontId="14" fillId="2" borderId="9" xfId="0" applyNumberFormat="1" applyFont="1" applyFill="1" applyBorder="1" applyAlignment="1" applyProtection="1">
      <alignment horizontal="left" vertical="center" wrapText="1" indent="1"/>
    </xf>
    <xf numFmtId="0" fontId="14" fillId="2" borderId="10" xfId="0" applyFont="1" applyFill="1" applyBorder="1" applyAlignment="1" applyProtection="1">
      <alignment horizontal="left" vertical="center" wrapText="1" indent="1"/>
    </xf>
    <xf numFmtId="0" fontId="14" fillId="2" borderId="11" xfId="0" applyFont="1" applyFill="1" applyBorder="1" applyAlignment="1" applyProtection="1">
      <alignment horizontal="left" vertical="center" wrapText="1" indent="1"/>
    </xf>
    <xf numFmtId="0" fontId="14" fillId="2" borderId="12" xfId="0" applyFont="1" applyFill="1" applyBorder="1" applyAlignment="1" applyProtection="1">
      <alignment horizontal="left" vertical="center" wrapText="1" indent="1"/>
    </xf>
    <xf numFmtId="2" fontId="14" fillId="2" borderId="7" xfId="0" applyNumberFormat="1" applyFont="1" applyFill="1" applyBorder="1" applyAlignment="1" applyProtection="1">
      <alignment horizontal="left" vertical="center" wrapText="1" indent="1"/>
    </xf>
    <xf numFmtId="164" fontId="13" fillId="2" borderId="32" xfId="0" applyNumberFormat="1" applyFont="1" applyFill="1" applyBorder="1" applyAlignment="1">
      <alignment horizontal="center" vertical="center"/>
    </xf>
    <xf numFmtId="2" fontId="2" fillId="2" borderId="32" xfId="0" applyNumberFormat="1" applyFont="1" applyFill="1" applyBorder="1" applyAlignment="1" applyProtection="1">
      <alignment horizontal="left" vertical="center" wrapText="1" indent="1"/>
    </xf>
    <xf numFmtId="0" fontId="12" fillId="2" borderId="32" xfId="0" applyFont="1" applyFill="1" applyBorder="1" applyAlignment="1" applyProtection="1">
      <alignment horizontal="center" vertical="center" wrapText="1"/>
    </xf>
    <xf numFmtId="0" fontId="7" fillId="0" borderId="32" xfId="1" applyNumberFormat="1" applyBorder="1" applyAlignment="1" applyProtection="1">
      <alignment horizontal="center" vertical="center" wrapText="1"/>
    </xf>
    <xf numFmtId="0" fontId="17" fillId="0" borderId="0" xfId="0" applyFont="1" applyProtection="1">
      <protection hidden="1"/>
    </xf>
    <xf numFmtId="14" fontId="17" fillId="0" borderId="0" xfId="0" applyNumberFormat="1" applyFont="1" applyProtection="1"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166" fontId="5" fillId="0" borderId="5" xfId="0" applyNumberFormat="1" applyFont="1" applyFill="1" applyBorder="1" applyAlignment="1" applyProtection="1">
      <alignment horizontal="center" vertical="center"/>
    </xf>
    <xf numFmtId="166" fontId="15" fillId="0" borderId="5" xfId="0" applyNumberFormat="1" applyFont="1" applyFill="1" applyBorder="1" applyAlignment="1" applyProtection="1">
      <alignment horizontal="center" vertical="center"/>
    </xf>
    <xf numFmtId="166" fontId="5" fillId="0" borderId="6" xfId="0" applyNumberFormat="1" applyFont="1" applyFill="1" applyBorder="1" applyAlignment="1" applyProtection="1">
      <alignment horizontal="center" vertical="center"/>
    </xf>
    <xf numFmtId="166" fontId="4" fillId="0" borderId="32" xfId="0" applyNumberFormat="1" applyFont="1" applyFill="1" applyBorder="1" applyAlignment="1">
      <alignment horizontal="center" vertical="center" wrapText="1"/>
    </xf>
    <xf numFmtId="166" fontId="4" fillId="0" borderId="32" xfId="0" applyNumberFormat="1" applyFont="1" applyFill="1" applyBorder="1" applyAlignment="1" applyProtection="1">
      <alignment horizontal="center" vertical="center" wrapText="1"/>
    </xf>
    <xf numFmtId="166" fontId="5" fillId="0" borderId="4" xfId="0" applyNumberFormat="1" applyFont="1" applyFill="1" applyBorder="1" applyAlignment="1" applyProtection="1">
      <alignment horizontal="center" vertical="center"/>
    </xf>
    <xf numFmtId="166" fontId="0" fillId="0" borderId="0" xfId="0" applyNumberFormat="1"/>
    <xf numFmtId="0" fontId="1" fillId="0" borderId="19" xfId="0" applyFont="1" applyBorder="1" applyProtection="1">
      <protection hidden="1"/>
    </xf>
    <xf numFmtId="0" fontId="1" fillId="0" borderId="21" xfId="0" applyFont="1" applyBorder="1" applyProtection="1">
      <protection hidden="1"/>
    </xf>
    <xf numFmtId="0" fontId="0" fillId="0" borderId="37" xfId="0" applyBorder="1" applyProtection="1">
      <protection hidden="1"/>
    </xf>
    <xf numFmtId="0" fontId="0" fillId="0" borderId="38" xfId="0" applyBorder="1" applyProtection="1"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0" xfId="0" applyBorder="1" applyProtection="1">
      <protection hidden="1"/>
    </xf>
    <xf numFmtId="0" fontId="18" fillId="3" borderId="4" xfId="0" applyFont="1" applyFill="1" applyBorder="1" applyAlignment="1" applyProtection="1">
      <alignment horizontal="center" vertical="center" wrapText="1"/>
      <protection locked="0"/>
    </xf>
    <xf numFmtId="164" fontId="12" fillId="2" borderId="3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2" xfId="0" applyBorder="1" applyAlignment="1" applyProtection="1"/>
    <xf numFmtId="0" fontId="0" fillId="0" borderId="34" xfId="0" applyBorder="1" applyAlignment="1" applyProtection="1"/>
    <xf numFmtId="0" fontId="0" fillId="0" borderId="0" xfId="0" applyBorder="1" applyAlignment="1" applyProtection="1"/>
    <xf numFmtId="0" fontId="14" fillId="2" borderId="1" xfId="0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Hyperlink" xfId="1" builtinId="8"/>
    <cellStyle name="Standard" xfId="0" builtinId="0"/>
  </cellStyles>
  <dxfs count="69"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strike val="0"/>
      </font>
      <fill>
        <patternFill>
          <bgColor rgb="FFFF3F3F"/>
        </patternFill>
      </fill>
    </dxf>
    <dxf>
      <fill>
        <patternFill>
          <bgColor rgb="FF00FF00"/>
        </patternFill>
      </fill>
    </dxf>
    <dxf>
      <font>
        <strike val="0"/>
      </font>
      <fill>
        <patternFill>
          <bgColor rgb="FFFF3F3F"/>
        </patternFill>
      </fill>
    </dxf>
    <dxf>
      <fill>
        <patternFill>
          <bgColor rgb="FF00FF00"/>
        </patternFill>
      </fill>
    </dxf>
    <dxf>
      <font>
        <strike val="0"/>
      </font>
      <fill>
        <patternFill>
          <bgColor rgb="FFFF3F3F"/>
        </patternFill>
      </fill>
    </dxf>
    <dxf>
      <fill>
        <patternFill>
          <bgColor rgb="FF00FF00"/>
        </patternFill>
      </fill>
    </dxf>
    <dxf>
      <font>
        <strike val="0"/>
      </font>
      <fill>
        <patternFill>
          <bgColor rgb="FFFF3F3F"/>
        </patternFill>
      </fill>
    </dxf>
    <dxf>
      <fill>
        <patternFill>
          <bgColor rgb="FF00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</font>
      <fill>
        <patternFill>
          <bgColor rgb="FFFF3F3F"/>
        </patternFill>
      </fill>
    </dxf>
    <dxf>
      <fill>
        <patternFill>
          <bgColor rgb="FF00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</font>
      <fill>
        <patternFill>
          <bgColor rgb="FFFF3F3F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FF0000"/>
      <color rgb="FFFF3F3F"/>
      <color rgb="FFCC0000"/>
      <color rgb="FFE6E6E6"/>
      <color rgb="FFC8C8C8"/>
      <color rgb="FFFF9900"/>
      <color rgb="FF00FF00"/>
      <color rgb="FFD6FAFE"/>
      <color rgb="FFB8F7FE"/>
      <color rgb="FFFF5B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e-DE" sz="2000"/>
              <a:t>Annual  </a:t>
            </a:r>
            <a:r>
              <a:rPr lang="de-DE" sz="2000">
                <a:solidFill>
                  <a:srgbClr val="0070C0"/>
                </a:solidFill>
              </a:rPr>
              <a:t>Total Cost</a:t>
            </a:r>
            <a:r>
              <a:rPr lang="de-DE" sz="2000" baseline="0">
                <a:solidFill>
                  <a:srgbClr val="0070C0"/>
                </a:solidFill>
              </a:rPr>
              <a:t> of Ownership </a:t>
            </a:r>
            <a:endParaRPr lang="de-DE" sz="2000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36582075266907427"/>
          <c:y val="3.4448383387917218E-2"/>
        </c:manualLayout>
      </c:layout>
      <c:overlay val="0"/>
    </c:title>
    <c:autoTitleDeleted val="0"/>
    <c:view3D>
      <c:rotX val="10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407751662621124E-2"/>
          <c:y val="0.13047588147167444"/>
          <c:w val="0.90359224833737883"/>
          <c:h val="0.74615096508954082"/>
        </c:manualLayout>
      </c:layout>
      <c:bar3DChart>
        <c:barDir val="col"/>
        <c:grouping val="clustere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3.759348456821954E-3"/>
                  <c:y val="0.224617253421834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4864667154352594E-3"/>
                  <c:y val="0.169667590027700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32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('Productivity Calculator'!$B$4,'Productivity Calculator'!$F$4)</c:f>
              <c:strCache>
                <c:ptCount val="2"/>
                <c:pt idx="0">
                  <c:v>WT36C-600</c:v>
                </c:pt>
                <c:pt idx="1">
                  <c:v>SD 3650+</c:v>
                </c:pt>
              </c:strCache>
            </c:strRef>
          </c:cat>
          <c:val>
            <c:numRef>
              <c:f>('Productivity Calculator'!$B$24,'Productivity Calculator'!$F$24)</c:f>
              <c:numCache>
                <c:formatCode>#,##0\ _€</c:formatCode>
                <c:ptCount val="2"/>
                <c:pt idx="0">
                  <c:v>1949</c:v>
                </c:pt>
                <c:pt idx="1">
                  <c:v>2952.34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495936"/>
        <c:axId val="105505920"/>
        <c:axId val="0"/>
      </c:bar3DChart>
      <c:catAx>
        <c:axId val="105495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2000" b="1"/>
            </a:pPr>
            <a:endParaRPr lang="de-DE"/>
          </a:p>
        </c:txPr>
        <c:crossAx val="105505920"/>
        <c:crosses val="autoZero"/>
        <c:auto val="1"/>
        <c:lblAlgn val="ctr"/>
        <c:lblOffset val="100"/>
        <c:noMultiLvlLbl val="0"/>
      </c:catAx>
      <c:valAx>
        <c:axId val="105505920"/>
        <c:scaling>
          <c:orientation val="minMax"/>
          <c:min val="1000"/>
        </c:scaling>
        <c:delete val="0"/>
        <c:axPos val="l"/>
        <c:majorGridlines/>
        <c:numFmt formatCode="#,##0\ _€" sourceLinked="1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de-DE"/>
          </a:p>
        </c:txPr>
        <c:crossAx val="105495936"/>
        <c:crosses val="autoZero"/>
        <c:crossBetween val="between"/>
      </c:valAx>
    </c:plotArea>
    <c:plotVisOnly val="1"/>
    <c:dispBlanksAs val="gap"/>
    <c:showDLblsOverMax val="0"/>
  </c:chart>
  <c:spPr>
    <a:solidFill>
      <a:srgbClr val="E6E6E6"/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485775</xdr:colOff>
      <xdr:row>12</xdr:row>
      <xdr:rowOff>0</xdr:rowOff>
    </xdr:from>
    <xdr:ext cx="184731" cy="264560"/>
    <xdr:sp macro="" textlink="">
      <xdr:nvSpPr>
        <xdr:cNvPr id="4" name="Textfeld 3"/>
        <xdr:cNvSpPr txBox="1"/>
      </xdr:nvSpPr>
      <xdr:spPr>
        <a:xfrm>
          <a:off x="4067175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485775</xdr:colOff>
      <xdr:row>2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4204335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485775</xdr:colOff>
      <xdr:row>2</xdr:row>
      <xdr:rowOff>0</xdr:rowOff>
    </xdr:from>
    <xdr:ext cx="184731" cy="264560"/>
    <xdr:sp macro="" textlink="">
      <xdr:nvSpPr>
        <xdr:cNvPr id="5" name="Textfeld 4"/>
        <xdr:cNvSpPr txBox="1"/>
      </xdr:nvSpPr>
      <xdr:spPr>
        <a:xfrm>
          <a:off x="4204335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485775</xdr:colOff>
      <xdr:row>12</xdr:row>
      <xdr:rowOff>0</xdr:rowOff>
    </xdr:from>
    <xdr:ext cx="184731" cy="264560"/>
    <xdr:sp macro="" textlink="">
      <xdr:nvSpPr>
        <xdr:cNvPr id="6" name="Textfeld 5"/>
        <xdr:cNvSpPr txBox="1"/>
      </xdr:nvSpPr>
      <xdr:spPr>
        <a:xfrm>
          <a:off x="318833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0</xdr:col>
      <xdr:colOff>1352550</xdr:colOff>
      <xdr:row>25</xdr:row>
      <xdr:rowOff>10795</xdr:rowOff>
    </xdr:from>
    <xdr:to>
      <xdr:col>5</xdr:col>
      <xdr:colOff>1212215</xdr:colOff>
      <xdr:row>33</xdr:row>
      <xdr:rowOff>67945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dcam.org/scanners/contex/buy-contex-hd-ultra-scanner.php" TargetMode="External"/><Relationship Id="rId13" Type="http://schemas.openxmlformats.org/officeDocument/2006/relationships/hyperlink" Target="http://www.imageaccess.de/index.php?lang=en&amp;page=ScannersWT48C-600" TargetMode="External"/><Relationship Id="rId18" Type="http://schemas.openxmlformats.org/officeDocument/2006/relationships/hyperlink" Target="http://www.imageaccess.us/index.php?lang=en&amp;page=ScannersWT48-600" TargetMode="External"/><Relationship Id="rId3" Type="http://schemas.openxmlformats.org/officeDocument/2006/relationships/hyperlink" Target="http://www.cadcam.org/scanners/contex/buy-contex-hd-ultra-scanner.php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://www.cadcam.org/scanners/contex/buy-contex-hd-ultra-scanner.php" TargetMode="External"/><Relationship Id="rId12" Type="http://schemas.openxmlformats.org/officeDocument/2006/relationships/hyperlink" Target="http://www.imageaccess.de/index.php?lang=en&amp;page=ScannersWT48C-600" TargetMode="External"/><Relationship Id="rId17" Type="http://schemas.openxmlformats.org/officeDocument/2006/relationships/hyperlink" Target="http://www.imageaccess.us/index.php?lang=en&amp;page=ScannersWT44-600" TargetMode="External"/><Relationship Id="rId2" Type="http://schemas.openxmlformats.org/officeDocument/2006/relationships/hyperlink" Target="http://www.cadcam.org/scanners/contex/buy-contex-hd-ultra-scanner.php" TargetMode="External"/><Relationship Id="rId16" Type="http://schemas.openxmlformats.org/officeDocument/2006/relationships/hyperlink" Target="http://www.imageaccess.us/index.php?lang=en&amp;page=ScannersWT44-600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://www.cadcam.org/scanners/contex/buy-contex-hd-ultra-scanner.php" TargetMode="External"/><Relationship Id="rId6" Type="http://schemas.openxmlformats.org/officeDocument/2006/relationships/hyperlink" Target="http://www.cadcam.org/scanners/contex/buy-contex-hd-ultra-scanner.php" TargetMode="External"/><Relationship Id="rId11" Type="http://schemas.openxmlformats.org/officeDocument/2006/relationships/hyperlink" Target="http://www.imageaccess.de/index.php?lang=en&amp;page=ScannersWT36C-600" TargetMode="External"/><Relationship Id="rId5" Type="http://schemas.openxmlformats.org/officeDocument/2006/relationships/hyperlink" Target="http://www.cadcam.org/scanners/contex/buy-contex-hd-ultra-scanner.php" TargetMode="External"/><Relationship Id="rId15" Type="http://schemas.openxmlformats.org/officeDocument/2006/relationships/hyperlink" Target="http://www.imageaccess.us/index.php?lang=en&amp;page=ScannersWT36-600" TargetMode="External"/><Relationship Id="rId10" Type="http://schemas.openxmlformats.org/officeDocument/2006/relationships/hyperlink" Target="http://usaparts.contex.com/" TargetMode="External"/><Relationship Id="rId19" Type="http://schemas.openxmlformats.org/officeDocument/2006/relationships/hyperlink" Target="http://www.imageaccess.us/index.php?lang=en&amp;page=ScannersWT48-600" TargetMode="External"/><Relationship Id="rId4" Type="http://schemas.openxmlformats.org/officeDocument/2006/relationships/hyperlink" Target="http://www.cadcam.org/scanners/contex/buy-contex-hd-ultra-scanner.php" TargetMode="External"/><Relationship Id="rId9" Type="http://schemas.openxmlformats.org/officeDocument/2006/relationships/hyperlink" Target="http://www.imageaccess.de/index.php?lang=en&amp;page=ScannersWT36C-600" TargetMode="External"/><Relationship Id="rId14" Type="http://schemas.openxmlformats.org/officeDocument/2006/relationships/hyperlink" Target="http://www.imageaccess.us/index.php?lang=en&amp;page=ScannersWT36-600" TargetMode="Externa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I34"/>
  <sheetViews>
    <sheetView tabSelected="1" zoomScale="75" zoomScaleNormal="75" zoomScaleSheetLayoutView="75" zoomScalePageLayoutView="75" workbookViewId="0">
      <selection activeCell="B4" sqref="B4"/>
    </sheetView>
  </sheetViews>
  <sheetFormatPr baseColWidth="10" defaultColWidth="11.42578125" defaultRowHeight="44.1" customHeight="1" x14ac:dyDescent="0.25"/>
  <cols>
    <col min="1" max="1" width="20.7109375" customWidth="1"/>
    <col min="2" max="2" width="18.7109375" style="1" customWidth="1"/>
    <col min="3" max="3" width="14.7109375" style="1" customWidth="1"/>
    <col min="4" max="4" width="80.7109375" customWidth="1"/>
    <col min="5" max="5" width="14.7109375" style="1" customWidth="1"/>
    <col min="6" max="6" width="18.7109375" style="1" customWidth="1"/>
    <col min="7" max="7" width="20.7109375" customWidth="1"/>
    <col min="8" max="8" width="15.7109375" customWidth="1"/>
  </cols>
  <sheetData>
    <row r="1" spans="1:9" ht="45" customHeight="1" thickBot="1" x14ac:dyDescent="0.3">
      <c r="A1" s="86" t="s">
        <v>54</v>
      </c>
      <c r="B1" s="87"/>
      <c r="C1" s="87"/>
      <c r="D1" s="87"/>
      <c r="E1" s="87"/>
      <c r="F1" s="87"/>
      <c r="G1" s="88"/>
      <c r="H1" s="3"/>
    </row>
    <row r="2" spans="1:9" ht="45" customHeight="1" thickBot="1" x14ac:dyDescent="0.3">
      <c r="A2" s="92" t="s">
        <v>84</v>
      </c>
      <c r="B2" s="93"/>
      <c r="C2" s="53" t="s">
        <v>64</v>
      </c>
      <c r="D2" s="84" t="s">
        <v>66</v>
      </c>
      <c r="E2" s="85" t="s">
        <v>64</v>
      </c>
      <c r="G2" s="1"/>
      <c r="H2" s="1"/>
    </row>
    <row r="3" spans="1:9" ht="45" customHeight="1" thickBot="1" x14ac:dyDescent="0.3">
      <c r="A3" s="53" t="s">
        <v>1</v>
      </c>
      <c r="B3" s="53" t="s">
        <v>21</v>
      </c>
      <c r="C3" s="42"/>
      <c r="D3" s="65" t="s">
        <v>30</v>
      </c>
      <c r="E3" s="46">
        <f>IF((VLOOKUP(B$4,Listen!$C$2:$V$19,18,FALSE)=VLOOKUP(F$4,Listen!$C$2:$V$19,18,FALSE)),0,1)</f>
        <v>0</v>
      </c>
      <c r="F3" s="63" t="str">
        <f>B3</f>
        <v>Retail Price</v>
      </c>
      <c r="G3" s="54" t="s">
        <v>2</v>
      </c>
    </row>
    <row r="4" spans="1:9" ht="45" customHeight="1" x14ac:dyDescent="0.25">
      <c r="A4" s="55" t="s">
        <v>20</v>
      </c>
      <c r="B4" s="69" t="s">
        <v>68</v>
      </c>
      <c r="C4" s="49" t="str">
        <f>VLOOKUP(B$4,Listen!$C$2:$V$19,18,FALSE)</f>
        <v>CIS</v>
      </c>
      <c r="D4" s="4" t="str">
        <f>CONCATENATE("Select the scanner model.  The technology used - CIS or CCD - will be shown adjacent to this field. ",IF((VLOOKUP(B$4,Listen!$C$2:$V$19,18,FALSE)=VLOOKUP(F$4,Listen!$C$2:$V$19,18,FALSE)),"     *** Selected Scanners are in the same class ***","   *** Selected Scanners are of different classes ***"))</f>
        <v>Select the scanner model.  The technology used - CIS or CCD - will be shown adjacent to this field.      *** Selected Scanners are in the same class ***</v>
      </c>
      <c r="E4" s="49" t="str">
        <f>VLOOKUP(F$4,Listen!$C$2:$V$19,18,FALSE)</f>
        <v>CIS</v>
      </c>
      <c r="F4" s="69" t="s">
        <v>7</v>
      </c>
      <c r="G4" s="59" t="str">
        <f>A4</f>
        <v>Scanner Model</v>
      </c>
    </row>
    <row r="5" spans="1:9" ht="45" customHeight="1" x14ac:dyDescent="0.25">
      <c r="A5" s="56" t="s">
        <v>22</v>
      </c>
      <c r="B5" s="70">
        <f>VLOOKUP(B$4,Listen!$C$2:$V$19,2,FALSE)</f>
        <v>6990</v>
      </c>
      <c r="C5" s="48"/>
      <c r="D5" s="10" t="s">
        <v>24</v>
      </c>
      <c r="E5" s="48"/>
      <c r="F5" s="71">
        <f>VLOOKUP(F$4,Listen!$C$2:$V$19,2,FALSE)</f>
        <v>7270</v>
      </c>
      <c r="G5" s="60" t="str">
        <f t="shared" ref="G5:G6" si="0">A5</f>
        <v>Base Unit</v>
      </c>
    </row>
    <row r="6" spans="1:9" ht="45" customHeight="1" x14ac:dyDescent="0.25">
      <c r="A6" s="57" t="str">
        <f>Listen!E$1</f>
        <v>Floorstand</v>
      </c>
      <c r="B6" s="70">
        <f>VLOOKUP(B$4,Listen!$C$2:$V$19,3,FALSE)*VLOOKUP(C6,Listen!$A$2:$B$5,2,FALSE)</f>
        <v>590</v>
      </c>
      <c r="C6" s="35" t="s">
        <v>15</v>
      </c>
      <c r="D6" s="5" t="s">
        <v>35</v>
      </c>
      <c r="E6" s="35" t="str">
        <f>C6</f>
        <v>Yes</v>
      </c>
      <c r="F6" s="71">
        <f>VLOOKUP(F$4,Listen!$C$2:$V$19,3,FALSE)*VLOOKUP(E6,Listen!$A$2:$B$5,2,FALSE)</f>
        <v>600</v>
      </c>
      <c r="G6" s="60" t="str">
        <f t="shared" si="0"/>
        <v>Floorstand</v>
      </c>
    </row>
    <row r="7" spans="1:9" ht="45" customHeight="1" x14ac:dyDescent="0.25">
      <c r="A7" s="57" t="str">
        <f>Listen!G$1</f>
        <v>Ethernet</v>
      </c>
      <c r="B7" s="70">
        <f>VLOOKUP(B$4,Listen!$C$2:$V$19,5,FALSE)*VLOOKUP(C7,Listen!$A$2:$B$5,2,FALSE)</f>
        <v>0</v>
      </c>
      <c r="C7" s="35" t="s">
        <v>18</v>
      </c>
      <c r="D7" s="5" t="s">
        <v>36</v>
      </c>
      <c r="E7" s="35" t="s">
        <v>16</v>
      </c>
      <c r="F7" s="71">
        <f>VLOOKUP(F$4,Listen!$C$2:$V$19,5,FALSE)*VLOOKUP(E7,Listen!$A$2:$B$5,2,FALSE)</f>
        <v>0</v>
      </c>
      <c r="G7" s="60" t="str">
        <f t="shared" ref="G7" si="1">A7</f>
        <v>Ethernet</v>
      </c>
    </row>
    <row r="8" spans="1:9" ht="45" customHeight="1" x14ac:dyDescent="0.3">
      <c r="A8" s="57" t="str">
        <f>Listen!H$1</f>
        <v>External PC</v>
      </c>
      <c r="B8" s="70">
        <f>VLOOKUP(B$4,Listen!$C$2:$V$19,6,FALSE)*VLOOKUP(C8,Listen!$A$2:$B$5,2,FALSE)</f>
        <v>0</v>
      </c>
      <c r="C8" s="35" t="s">
        <v>18</v>
      </c>
      <c r="D8" s="5" t="s">
        <v>40</v>
      </c>
      <c r="E8" s="35" t="s">
        <v>17</v>
      </c>
      <c r="F8" s="71">
        <f>VLOOKUP(F$4,Listen!$C$2:$V$19,6,FALSE)*VLOOKUP(E8,Listen!$A$2:$B$5,2,FALSE)</f>
        <v>625</v>
      </c>
      <c r="G8" s="60" t="str">
        <f t="shared" ref="G8" si="2">A8</f>
        <v>External PC</v>
      </c>
    </row>
    <row r="9" spans="1:9" ht="45" customHeight="1" x14ac:dyDescent="0.3">
      <c r="A9" s="57" t="str">
        <f>Listen!I$1</f>
        <v>Software</v>
      </c>
      <c r="B9" s="70">
        <f>VLOOKUP(B$4,Listen!$C$2:$V$19,7,FALSE)*VLOOKUP(C9,Listen!$A$2:$B$5,2,FALSE)</f>
        <v>0</v>
      </c>
      <c r="C9" s="35" t="s">
        <v>16</v>
      </c>
      <c r="D9" s="5" t="s">
        <v>39</v>
      </c>
      <c r="E9" s="35" t="s">
        <v>17</v>
      </c>
      <c r="F9" s="71">
        <f>VLOOKUP(F$4,Listen!$C$2:$V$19,7,FALSE)*VLOOKUP(E9,Listen!$A$2:$B$5,2,FALSE)</f>
        <v>950</v>
      </c>
      <c r="G9" s="60" t="str">
        <f t="shared" ref="G9" si="3">A9</f>
        <v>Software</v>
      </c>
    </row>
    <row r="10" spans="1:9" ht="45" customHeight="1" thickBot="1" x14ac:dyDescent="0.3">
      <c r="A10" s="58" t="str">
        <f>Listen!J$1</f>
        <v>On Site Service</v>
      </c>
      <c r="B10" s="72">
        <f>IF(VLOOKUP(B$4,Listen!$C$2:$V$19,8,FALSE)*(C10-VLOOKUP(B$4,Listen!$C$2:$V$19,9,FALSE))&gt;0,VLOOKUP(B$4,Listen!$C$2:$V$19,8,FALSE)*(C10-VLOOKUP(B$4,Listen!$C$2:$V$19,9,FALSE)),0)</f>
        <v>0</v>
      </c>
      <c r="C10" s="36">
        <v>0</v>
      </c>
      <c r="D10" s="6" t="s">
        <v>51</v>
      </c>
      <c r="E10" s="36">
        <f>C10</f>
        <v>0</v>
      </c>
      <c r="F10" s="72">
        <f>IF(VLOOKUP(F$4,Listen!$C$2:$V$19,8,FALSE)*(E10-VLOOKUP(F$4,Listen!$C$2:$V$19,9,FALSE))&gt;0,VLOOKUP(F$4,Listen!$C$2:$V$19,8,FALSE)*(E10-VLOOKUP(F$4,Listen!$C$2:$V$19,9,FALSE)),0)</f>
        <v>0</v>
      </c>
      <c r="G10" s="61" t="str">
        <f t="shared" ref="G10" si="4">A10</f>
        <v>On Site Service</v>
      </c>
    </row>
    <row r="11" spans="1:9" ht="45" customHeight="1" thickBot="1" x14ac:dyDescent="0.3">
      <c r="A11" s="43" t="s">
        <v>31</v>
      </c>
      <c r="B11" s="74">
        <f>SUM(B5:B10)</f>
        <v>7580</v>
      </c>
      <c r="C11" s="36">
        <v>0</v>
      </c>
      <c r="D11" s="39" t="str">
        <f>HYPERLINK(VLOOKUP($B$4,Listen!C2:W19,21,FALSE),"©2015 Image Access. Click here to see scanner")</f>
        <v>©2015 Image Access. Click here to see scanner</v>
      </c>
      <c r="E11" s="47"/>
      <c r="F11" s="73">
        <f>SUM(F5:F10)</f>
        <v>9445</v>
      </c>
      <c r="G11" s="64" t="str">
        <f>A11</f>
        <v>Total</v>
      </c>
      <c r="I11" s="2"/>
    </row>
    <row r="12" spans="1:9" ht="45" customHeight="1" thickBot="1" x14ac:dyDescent="0.3">
      <c r="A12" s="89"/>
      <c r="B12" s="89"/>
      <c r="C12" s="90"/>
      <c r="D12" s="89"/>
      <c r="E12" s="90"/>
      <c r="F12" s="89"/>
      <c r="G12" s="89"/>
      <c r="I12" s="2"/>
    </row>
    <row r="13" spans="1:9" ht="45" customHeight="1" thickBot="1" x14ac:dyDescent="0.3">
      <c r="A13" s="53" t="str">
        <f>A3</f>
        <v>Image Access</v>
      </c>
      <c r="B13" s="53" t="str">
        <f>B3</f>
        <v>Retail Price</v>
      </c>
      <c r="C13" s="42"/>
      <c r="D13" s="65" t="s">
        <v>56</v>
      </c>
      <c r="E13" s="42"/>
      <c r="F13" s="54" t="str">
        <f>F3</f>
        <v>Retail Price</v>
      </c>
      <c r="G13" s="54" t="str">
        <f>G3</f>
        <v>Contex</v>
      </c>
    </row>
    <row r="14" spans="1:9" ht="45" customHeight="1" x14ac:dyDescent="0.3">
      <c r="A14" s="62" t="str">
        <f>Listen!L$1</f>
        <v>Calibration Sheets</v>
      </c>
      <c r="B14" s="75">
        <f>VLOOKUP(B$4,Listen!$C$2:$V$19,10,FALSE)*C14</f>
        <v>125</v>
      </c>
      <c r="C14" s="41">
        <v>2.5</v>
      </c>
      <c r="D14" s="4" t="s">
        <v>41</v>
      </c>
      <c r="E14" s="41">
        <f>C14</f>
        <v>2.5</v>
      </c>
      <c r="F14" s="71">
        <f>VLOOKUP(F$4,Listen!$C$2:$V$19,10,FALSE)*E14</f>
        <v>740</v>
      </c>
      <c r="G14" s="59" t="str">
        <f t="shared" ref="G14" si="5">A14</f>
        <v>Calibration Sheets</v>
      </c>
    </row>
    <row r="15" spans="1:9" ht="45" customHeight="1" x14ac:dyDescent="0.25">
      <c r="A15" s="57" t="str">
        <f>Listen!M$1</f>
        <v>Glass Plate</v>
      </c>
      <c r="B15" s="70">
        <f>(1-C10/5)*(VLOOKUP(B$4,Listen!$C$2:$V$19,11,FALSE)*C15)</f>
        <v>0</v>
      </c>
      <c r="C15" s="35">
        <v>3</v>
      </c>
      <c r="D15" s="5" t="s">
        <v>53</v>
      </c>
      <c r="E15" s="35">
        <f>C15</f>
        <v>3</v>
      </c>
      <c r="F15" s="71">
        <f>VLOOKUP(F$4,Listen!$C$2:$V$19,11,FALSE)*E15</f>
        <v>696</v>
      </c>
      <c r="G15" s="60" t="str">
        <f t="shared" ref="G15" si="6">A15</f>
        <v>Glass Plate</v>
      </c>
    </row>
    <row r="16" spans="1:9" ht="45" customHeight="1" x14ac:dyDescent="0.25">
      <c r="A16" s="57" t="str">
        <f>Listen!N$1</f>
        <v>Pressure Rollers, Plates</v>
      </c>
      <c r="B16" s="70">
        <f>(1-C10/5)*(VLOOKUP(B$4,Listen!$C$2:$V$19,12,FALSE)*C16)</f>
        <v>660</v>
      </c>
      <c r="C16" s="35">
        <v>2</v>
      </c>
      <c r="D16" s="5" t="s">
        <v>42</v>
      </c>
      <c r="E16" s="35">
        <f t="shared" ref="E16:E21" si="7">C16</f>
        <v>2</v>
      </c>
      <c r="F16" s="71">
        <f>VLOOKUP(F$4,Listen!$C$2:$V$19,12,FALSE)*E16</f>
        <v>868</v>
      </c>
      <c r="G16" s="60" t="str">
        <f t="shared" ref="G16" si="8">A16</f>
        <v>Pressure Rollers, Plates</v>
      </c>
    </row>
    <row r="17" spans="1:9" ht="45" customHeight="1" x14ac:dyDescent="0.25">
      <c r="A17" s="57" t="str">
        <f>Listen!O$1</f>
        <v>Power Supply</v>
      </c>
      <c r="B17" s="70">
        <f>(1-C10/5)*(VLOOKUP(B$4,Listen!$C$2:$V$19,13,FALSE)*C17)</f>
        <v>140</v>
      </c>
      <c r="C17" s="35">
        <v>1</v>
      </c>
      <c r="D17" s="5" t="s">
        <v>52</v>
      </c>
      <c r="E17" s="35">
        <f t="shared" si="7"/>
        <v>1</v>
      </c>
      <c r="F17" s="71">
        <f>(1-E10/5)*(VLOOKUP(F$4,Listen!$C$2:$V$19,13,FALSE)*E17)</f>
        <v>406</v>
      </c>
      <c r="G17" s="60" t="str">
        <f t="shared" ref="G17" si="9">A17</f>
        <v>Power Supply</v>
      </c>
      <c r="H17" s="76"/>
    </row>
    <row r="18" spans="1:9" ht="45" customHeight="1" x14ac:dyDescent="0.25">
      <c r="A18" s="57" t="str">
        <f>Listen!P$1</f>
        <v>Lamp Modul</v>
      </c>
      <c r="B18" s="70">
        <f>(1-C10/5)*(VLOOKUP(B$4,Listen!$C$2:$V$19,14,FALSE)*C18)</f>
        <v>0</v>
      </c>
      <c r="C18" s="35">
        <v>2</v>
      </c>
      <c r="D18" s="5" t="s">
        <v>46</v>
      </c>
      <c r="E18" s="35">
        <f t="shared" ref="E18" si="10">C18</f>
        <v>2</v>
      </c>
      <c r="F18" s="71">
        <f>VLOOKUP(F$4,Listen!$C$2:$V$19,14,FALSE)*E18</f>
        <v>0</v>
      </c>
      <c r="G18" s="60" t="str">
        <f t="shared" ref="G18" si="11">A18</f>
        <v>Lamp Modul</v>
      </c>
    </row>
    <row r="19" spans="1:9" ht="45" customHeight="1" x14ac:dyDescent="0.25">
      <c r="A19" s="57" t="str">
        <f>Listen!Q$1</f>
        <v>CIS module</v>
      </c>
      <c r="B19" s="70">
        <f>(1-C10/5)*(VLOOKUP(B$4,Listen!$C$2:$V$19,15,FALSE)*C19)</f>
        <v>240</v>
      </c>
      <c r="C19" s="35">
        <v>0.3</v>
      </c>
      <c r="D19" s="5" t="s">
        <v>43</v>
      </c>
      <c r="E19" s="35">
        <f t="shared" si="7"/>
        <v>0.3</v>
      </c>
      <c r="F19" s="71">
        <f>(1-E10/5)*(VLOOKUP(F$4,Listen!$C$2:$V$19,15,FALSE)*E19)</f>
        <v>1024.2</v>
      </c>
      <c r="G19" s="60" t="str">
        <f t="shared" ref="G19" si="12">A19</f>
        <v>CIS module</v>
      </c>
    </row>
    <row r="20" spans="1:9" ht="45" customHeight="1" x14ac:dyDescent="0.25">
      <c r="A20" s="57" t="str">
        <f>Listen!R$1</f>
        <v>Camera</v>
      </c>
      <c r="B20" s="70">
        <f>(1-C10/5)*(VLOOKUP(B$4,Listen!$C$2:$V$19,16,FALSE)*C20)</f>
        <v>0</v>
      </c>
      <c r="C20" s="35">
        <v>0.3</v>
      </c>
      <c r="D20" s="5" t="s">
        <v>33</v>
      </c>
      <c r="E20" s="35">
        <f t="shared" si="7"/>
        <v>0.3</v>
      </c>
      <c r="F20" s="71">
        <f>(1-E10/5)*(VLOOKUP(F$4,Listen!$C$2:$V$19,16,FALSE)*E20)</f>
        <v>0</v>
      </c>
      <c r="G20" s="60" t="str">
        <f t="shared" ref="G20" si="13">A20</f>
        <v>Camera</v>
      </c>
    </row>
    <row r="21" spans="1:9" ht="45" customHeight="1" thickBot="1" x14ac:dyDescent="0.3">
      <c r="A21" s="58" t="str">
        <f>Listen!S$1</f>
        <v>Main Controller</v>
      </c>
      <c r="B21" s="72">
        <f>(1-C10/5)*(VLOOKUP(B$4,Listen!$C$2:$V$19,17,FALSE)*C21)</f>
        <v>1000</v>
      </c>
      <c r="C21" s="36">
        <v>0.5</v>
      </c>
      <c r="D21" s="6" t="s">
        <v>44</v>
      </c>
      <c r="E21" s="36">
        <f t="shared" si="7"/>
        <v>0.5</v>
      </c>
      <c r="F21" s="71">
        <f>(1-E10/5)*(VLOOKUP(F$4,Listen!$C$2:$V$19,17,FALSE)*E21)</f>
        <v>1582.5</v>
      </c>
      <c r="G21" s="61" t="str">
        <f t="shared" ref="G21" si="14">A21</f>
        <v>Main Controller</v>
      </c>
    </row>
    <row r="22" spans="1:9" ht="45" customHeight="1" thickBot="1" x14ac:dyDescent="0.3">
      <c r="A22" s="43" t="s">
        <v>31</v>
      </c>
      <c r="B22" s="74">
        <f>SUM(B14:B21)</f>
        <v>2165</v>
      </c>
      <c r="C22" s="38"/>
      <c r="D22" s="66"/>
      <c r="E22" s="38"/>
      <c r="F22" s="74">
        <f>SUM(F14:F21)</f>
        <v>5316.7</v>
      </c>
      <c r="G22" s="64" t="str">
        <f>A22</f>
        <v>Total</v>
      </c>
      <c r="I22" s="2"/>
    </row>
    <row r="23" spans="1:9" ht="45" customHeight="1" thickBot="1" x14ac:dyDescent="0.3">
      <c r="A23" s="89"/>
      <c r="B23" s="89"/>
      <c r="C23" s="90"/>
      <c r="D23" s="89"/>
      <c r="E23" s="90"/>
      <c r="F23" s="89"/>
      <c r="G23" s="89"/>
    </row>
    <row r="24" spans="1:9" ht="45" customHeight="1" thickBot="1" x14ac:dyDescent="0.3">
      <c r="A24" s="43" t="s">
        <v>29</v>
      </c>
      <c r="B24" s="74">
        <f>(B11+B22)/5</f>
        <v>1949</v>
      </c>
      <c r="C24" s="47"/>
      <c r="D24" s="40" t="s">
        <v>55</v>
      </c>
      <c r="E24" s="47"/>
      <c r="F24" s="74">
        <f>(F11+F22)/5</f>
        <v>2952.34</v>
      </c>
      <c r="G24" s="64" t="str">
        <f>A24</f>
        <v>Annual Cost</v>
      </c>
      <c r="I24" s="2"/>
    </row>
    <row r="25" spans="1:9" ht="45" customHeight="1" x14ac:dyDescent="0.25">
      <c r="A25" s="91"/>
      <c r="B25" s="91"/>
      <c r="C25" s="91"/>
      <c r="D25" s="91"/>
      <c r="E25" s="91"/>
      <c r="F25" s="91"/>
      <c r="G25" s="91"/>
    </row>
    <row r="26" spans="1:9" ht="45" customHeight="1" x14ac:dyDescent="0.25">
      <c r="A26" s="50"/>
      <c r="B26" s="51"/>
      <c r="C26" s="51"/>
      <c r="D26" s="50"/>
      <c r="E26" s="51"/>
      <c r="F26" s="51"/>
      <c r="G26" s="50"/>
    </row>
    <row r="27" spans="1:9" ht="45" customHeight="1" x14ac:dyDescent="0.25">
      <c r="A27" s="2"/>
      <c r="B27" s="52"/>
      <c r="C27" s="52"/>
      <c r="D27" s="2"/>
      <c r="E27" s="52"/>
      <c r="F27" s="52"/>
      <c r="G27" s="2"/>
    </row>
    <row r="28" spans="1:9" ht="45" customHeight="1" x14ac:dyDescent="0.25">
      <c r="A28" s="2"/>
      <c r="B28" s="52"/>
      <c r="C28" s="52"/>
      <c r="D28" s="2"/>
      <c r="E28" s="52"/>
      <c r="F28" s="52"/>
      <c r="G28" s="2"/>
    </row>
    <row r="29" spans="1:9" ht="45" customHeight="1" x14ac:dyDescent="0.25">
      <c r="A29" s="2"/>
      <c r="B29" s="52"/>
      <c r="C29" s="52"/>
      <c r="D29" s="2"/>
      <c r="E29" s="52"/>
      <c r="F29" s="52"/>
      <c r="G29" s="2"/>
    </row>
    <row r="30" spans="1:9" ht="45" customHeight="1" x14ac:dyDescent="0.25">
      <c r="A30" s="2"/>
      <c r="B30" s="52"/>
      <c r="C30" s="52"/>
      <c r="D30" s="2"/>
      <c r="E30" s="52"/>
      <c r="F30" s="52"/>
      <c r="G30" s="2"/>
    </row>
    <row r="31" spans="1:9" ht="45" customHeight="1" x14ac:dyDescent="0.25">
      <c r="A31" s="2"/>
      <c r="B31" s="52"/>
      <c r="C31" s="52"/>
      <c r="D31" s="2"/>
      <c r="E31" s="52"/>
      <c r="F31" s="52"/>
      <c r="G31" s="2"/>
    </row>
    <row r="32" spans="1:9" ht="45" customHeight="1" x14ac:dyDescent="0.25">
      <c r="A32" s="2"/>
      <c r="B32" s="52"/>
      <c r="C32" s="52"/>
      <c r="D32" s="2"/>
      <c r="E32" s="52"/>
      <c r="F32" s="52"/>
      <c r="G32" s="2"/>
    </row>
    <row r="33" spans="1:7" ht="44.1" customHeight="1" x14ac:dyDescent="0.25">
      <c r="A33" s="2"/>
      <c r="B33" s="52"/>
      <c r="C33" s="52"/>
      <c r="D33" s="2"/>
      <c r="E33" s="52"/>
      <c r="F33" s="52"/>
      <c r="G33" s="2"/>
    </row>
    <row r="34" spans="1:7" ht="44.1" customHeight="1" x14ac:dyDescent="0.25">
      <c r="A34" s="2"/>
      <c r="B34" s="52"/>
      <c r="C34" s="52"/>
      <c r="D34" s="2"/>
      <c r="E34" s="52"/>
      <c r="F34" s="52"/>
      <c r="G34" s="2"/>
    </row>
  </sheetData>
  <sheetProtection selectLockedCells="1"/>
  <dataConsolidate/>
  <mergeCells count="5">
    <mergeCell ref="A1:G1"/>
    <mergeCell ref="A12:G12"/>
    <mergeCell ref="A23:G23"/>
    <mergeCell ref="A25:G25"/>
    <mergeCell ref="A2:B2"/>
  </mergeCells>
  <conditionalFormatting sqref="F11">
    <cfRule type="expression" dxfId="68" priority="172">
      <formula>$B$11&gt;$F$11</formula>
    </cfRule>
    <cfRule type="expression" dxfId="67" priority="173">
      <formula>$F$11&gt;$B$11</formula>
    </cfRule>
  </conditionalFormatting>
  <conditionalFormatting sqref="B7">
    <cfRule type="cellIs" dxfId="66" priority="127" operator="equal">
      <formula>0</formula>
    </cfRule>
  </conditionalFormatting>
  <conditionalFormatting sqref="B6">
    <cfRule type="cellIs" dxfId="65" priority="126" operator="equal">
      <formula>0</formula>
    </cfRule>
  </conditionalFormatting>
  <conditionalFormatting sqref="F6">
    <cfRule type="cellIs" dxfId="64" priority="125" operator="equal">
      <formula>0</formula>
    </cfRule>
  </conditionalFormatting>
  <conditionalFormatting sqref="F7">
    <cfRule type="cellIs" dxfId="63" priority="123" operator="equal">
      <formula>0</formula>
    </cfRule>
  </conditionalFormatting>
  <conditionalFormatting sqref="B8">
    <cfRule type="cellIs" dxfId="62" priority="118" operator="equal">
      <formula>0</formula>
    </cfRule>
  </conditionalFormatting>
  <conditionalFormatting sqref="F8">
    <cfRule type="cellIs" dxfId="61" priority="117" operator="equal">
      <formula>0</formula>
    </cfRule>
  </conditionalFormatting>
  <conditionalFormatting sqref="B9">
    <cfRule type="cellIs" dxfId="60" priority="112" operator="equal">
      <formula>0</formula>
    </cfRule>
  </conditionalFormatting>
  <conditionalFormatting sqref="F9">
    <cfRule type="cellIs" dxfId="59" priority="111" operator="equal">
      <formula>0</formula>
    </cfRule>
  </conditionalFormatting>
  <conditionalFormatting sqref="B11">
    <cfRule type="expression" dxfId="58" priority="109">
      <formula>$B$11&lt;$F$11</formula>
    </cfRule>
    <cfRule type="expression" dxfId="57" priority="110">
      <formula>$F$11&lt;$B$11</formula>
    </cfRule>
  </conditionalFormatting>
  <conditionalFormatting sqref="B14">
    <cfRule type="cellIs" dxfId="56" priority="96" operator="equal">
      <formula>0</formula>
    </cfRule>
  </conditionalFormatting>
  <conditionalFormatting sqref="B15">
    <cfRule type="cellIs" dxfId="55" priority="87" operator="equal">
      <formula>0</formula>
    </cfRule>
  </conditionalFormatting>
  <conditionalFormatting sqref="B16">
    <cfRule type="cellIs" dxfId="54" priority="81" operator="equal">
      <formula>0</formula>
    </cfRule>
  </conditionalFormatting>
  <conditionalFormatting sqref="B17">
    <cfRule type="cellIs" dxfId="53" priority="75" operator="equal">
      <formula>0</formula>
    </cfRule>
  </conditionalFormatting>
  <conditionalFormatting sqref="B19">
    <cfRule type="cellIs" dxfId="52" priority="69" operator="equal">
      <formula>0</formula>
    </cfRule>
  </conditionalFormatting>
  <conditionalFormatting sqref="B20">
    <cfRule type="cellIs" dxfId="51" priority="57" operator="equal">
      <formula>0</formula>
    </cfRule>
  </conditionalFormatting>
  <conditionalFormatting sqref="B21">
    <cfRule type="cellIs" dxfId="50" priority="51" operator="equal">
      <formula>0</formula>
    </cfRule>
  </conditionalFormatting>
  <conditionalFormatting sqref="F22">
    <cfRule type="expression" dxfId="49" priority="40">
      <formula>B22&gt;F22</formula>
    </cfRule>
    <cfRule type="expression" dxfId="48" priority="41">
      <formula>B22&lt;F22</formula>
    </cfRule>
  </conditionalFormatting>
  <conditionalFormatting sqref="F24">
    <cfRule type="expression" dxfId="47" priority="36">
      <formula>F24&lt;B24</formula>
    </cfRule>
    <cfRule type="expression" dxfId="46" priority="37">
      <formula>F24&gt;B24</formula>
    </cfRule>
  </conditionalFormatting>
  <conditionalFormatting sqref="B22">
    <cfRule type="expression" dxfId="45" priority="22">
      <formula>C22&lt;B22</formula>
    </cfRule>
    <cfRule type="expression" dxfId="44" priority="23">
      <formula>C22&gt;B22</formula>
    </cfRule>
  </conditionalFormatting>
  <conditionalFormatting sqref="B24">
    <cfRule type="expression" dxfId="43" priority="20">
      <formula>C24&lt;B24</formula>
    </cfRule>
    <cfRule type="expression" dxfId="42" priority="21">
      <formula>C24&gt;B24</formula>
    </cfRule>
  </conditionalFormatting>
  <conditionalFormatting sqref="D4">
    <cfRule type="expression" dxfId="41" priority="18">
      <formula>$E$3=0</formula>
    </cfRule>
    <cfRule type="expression" dxfId="40" priority="19">
      <formula>$E$3=1</formula>
    </cfRule>
  </conditionalFormatting>
  <conditionalFormatting sqref="B18">
    <cfRule type="cellIs" dxfId="39" priority="15" operator="equal">
      <formula>0</formula>
    </cfRule>
  </conditionalFormatting>
  <conditionalFormatting sqref="F14:F21">
    <cfRule type="cellIs" dxfId="38" priority="10" operator="equal">
      <formula>0</formula>
    </cfRule>
  </conditionalFormatting>
  <conditionalFormatting sqref="B10">
    <cfRule type="cellIs" dxfId="37" priority="2" operator="equal">
      <formula>0</formula>
    </cfRule>
  </conditionalFormatting>
  <conditionalFormatting sqref="F10">
    <cfRule type="cellIs" dxfId="36" priority="1" operator="equal">
      <formula>0</formula>
    </cfRule>
  </conditionalFormatting>
  <dataValidations xWindow="335" yWindow="835" count="8">
    <dataValidation type="textLength" errorStyle="warning" allowBlank="1" showInputMessage="1" showErrorMessage="1" errorTitle="Published Price" error="This cannot be edited, data is taken from the price sheet." promptTitle="List Price" prompt="List prices as posted in the Internet" sqref="F8">
      <formula1>0</formula1>
      <formula2>0</formula2>
    </dataValidation>
    <dataValidation type="textLength" errorStyle="warning" allowBlank="1" showInputMessage="1" showErrorMessage="1" errorTitle="Published Price" error="This cannot be edited, data is taken from the price sheet." sqref="F14:F21 B14:B21 F10 B5:B10">
      <formula1>0</formula1>
      <formula2>0</formula2>
    </dataValidation>
    <dataValidation allowBlank="1" showInputMessage="1" showErrorMessage="1" prompt="Retail Price Total" sqref="F11 B24 F24 F22 B22 B11"/>
    <dataValidation type="textLength" errorStyle="warning" allowBlank="1" showInputMessage="1" showErrorMessage="1" error="Link is not editable" promptTitle="Scanner home page" sqref="D22 D11">
      <formula1>0</formula1>
      <formula2>0</formula2>
    </dataValidation>
    <dataValidation errorStyle="information" allowBlank="1" showInputMessage="1" showErrorMessage="1" error="Total amount in 5 years." sqref="E14:E21 C14:C21"/>
    <dataValidation type="whole" allowBlank="1" showInputMessage="1" showErrorMessage="1" error="Number of years between 0 and 5!_x000a_" prompt="Number of years of coverage._x000a__x000a_" sqref="E10">
      <formula1>0</formula1>
      <formula2>5</formula2>
    </dataValidation>
    <dataValidation type="textLength" errorStyle="warning" allowBlank="1" showInputMessage="1" showErrorMessage="1" errorTitle="Published Price" error="This cannot be edited, data is taken from the price sheet." promptTitle="List Price" prompt="List prices as posted in the Internet_x000a_" sqref="F5 F7 F9">
      <formula1>0</formula1>
      <formula2>0</formula2>
    </dataValidation>
    <dataValidation type="textLength" errorStyle="warning" allowBlank="1" showInputMessage="1" showErrorMessage="1" errorTitle="Published Price" error="This cannot be edited, data is taken from the price sheet." promptTitle="List Price" prompt="List prices as posted in the Internet" sqref="F6">
      <formula1>0</formula1>
      <formula2>0</formula2>
    </dataValidation>
  </dataValidations>
  <pageMargins left="0.39370078740157483" right="0.39370078740157483" top="0.39370078740157483" bottom="0.39370078740157483" header="0" footer="0"/>
  <pageSetup paperSize="9" scale="50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7" operator="equal" id="{BFC92D21-7029-4E25-B730-535122B9319B}">
            <xm:f>Listen!$A$3</xm:f>
            <x14:dxf>
              <font>
                <strike val="0"/>
                <color rgb="FFFF0000"/>
              </font>
            </x14:dxf>
          </x14:cfRule>
          <x14:cfRule type="cellIs" priority="148" operator="equal" id="{923829C8-30B8-46D4-83D4-55EA340B0FB9}">
            <xm:f>Listen!$A$2</xm:f>
            <x14:dxf>
              <font>
                <strike val="0"/>
                <color rgb="FF00B050"/>
              </font>
            </x14:dxf>
          </x14:cfRule>
          <xm:sqref>C6</xm:sqref>
        </x14:conditionalFormatting>
        <x14:conditionalFormatting xmlns:xm="http://schemas.microsoft.com/office/excel/2006/main">
          <x14:cfRule type="cellIs" priority="139" operator="equal" id="{9C024091-56BC-4F8A-8146-FA0B4EA5CE36}">
            <xm:f>Listen!$A$3</xm:f>
            <x14:dxf>
              <font>
                <strike val="0"/>
                <color rgb="FFFF0000"/>
              </font>
            </x14:dxf>
          </x14:cfRule>
          <x14:cfRule type="cellIs" priority="140" operator="equal" id="{E82119CC-AEF4-4090-AC64-5D8E41347A51}">
            <xm:f>Listen!$A$2</xm:f>
            <x14:dxf>
              <font>
                <strike val="0"/>
                <color rgb="FF00B050"/>
              </font>
            </x14:dxf>
          </x14:cfRule>
          <xm:sqref>C7</xm:sqref>
        </x14:conditionalFormatting>
        <x14:conditionalFormatting xmlns:xm="http://schemas.microsoft.com/office/excel/2006/main">
          <x14:cfRule type="cellIs" priority="133" operator="equal" id="{C94E3A61-6FCE-4EB1-9994-F1E2D7745223}">
            <xm:f>Listen!$A$3</xm:f>
            <x14:dxf>
              <font>
                <strike val="0"/>
                <color rgb="FFFF0000"/>
              </font>
            </x14:dxf>
          </x14:cfRule>
          <x14:cfRule type="cellIs" priority="134" operator="equal" id="{D0D53005-2EB9-4695-A38D-4D6C38782144}">
            <xm:f>Listen!$A$2</xm:f>
            <x14:dxf>
              <font>
                <strike val="0"/>
                <color rgb="FF00B050"/>
              </font>
            </x14:dxf>
          </x14:cfRule>
          <xm:sqref>E6</xm:sqref>
        </x14:conditionalFormatting>
        <x14:conditionalFormatting xmlns:xm="http://schemas.microsoft.com/office/excel/2006/main">
          <x14:cfRule type="cellIs" priority="129" operator="equal" id="{9ABC9172-87AA-4463-A44D-82F8EE3A73E8}">
            <xm:f>Listen!$A$3</xm:f>
            <x14:dxf>
              <font>
                <strike val="0"/>
                <color rgb="FFFF0000"/>
              </font>
            </x14:dxf>
          </x14:cfRule>
          <x14:cfRule type="cellIs" priority="130" operator="equal" id="{A9BF42D3-46E1-4B37-B92C-2C4EDD7C3714}">
            <xm:f>Listen!$A$2</xm:f>
            <x14:dxf>
              <font>
                <strike val="0"/>
                <color rgb="FF00B050"/>
              </font>
            </x14:dxf>
          </x14:cfRule>
          <xm:sqref>E7</xm:sqref>
        </x14:conditionalFormatting>
        <x14:conditionalFormatting xmlns:xm="http://schemas.microsoft.com/office/excel/2006/main">
          <x14:cfRule type="cellIs" priority="121" operator="equal" id="{C1FC051D-4482-4D09-B85D-40E7FFA98551}">
            <xm:f>Listen!$A$3</xm:f>
            <x14:dxf>
              <font>
                <strike val="0"/>
                <color rgb="FFFF0000"/>
              </font>
            </x14:dxf>
          </x14:cfRule>
          <x14:cfRule type="cellIs" priority="122" operator="equal" id="{ADD97D02-6745-4662-B80D-F3E064A187E8}">
            <xm:f>Listen!$A$2</xm:f>
            <x14:dxf>
              <font>
                <strike val="0"/>
                <color rgb="FF00B050"/>
              </font>
            </x14:dxf>
          </x14:cfRule>
          <xm:sqref>C8</xm:sqref>
        </x14:conditionalFormatting>
        <x14:conditionalFormatting xmlns:xm="http://schemas.microsoft.com/office/excel/2006/main">
          <x14:cfRule type="cellIs" priority="119" operator="equal" id="{67AE9560-D424-4372-B069-9FD6E2B03C23}">
            <xm:f>Listen!$A$3</xm:f>
            <x14:dxf>
              <font>
                <strike val="0"/>
                <color rgb="FFFF0000"/>
              </font>
            </x14:dxf>
          </x14:cfRule>
          <x14:cfRule type="cellIs" priority="120" operator="equal" id="{8DC08DBB-8932-4D6F-98AF-52A9189E7F23}">
            <xm:f>Listen!$A$2</xm:f>
            <x14:dxf>
              <font>
                <strike val="0"/>
                <color rgb="FF00B050"/>
              </font>
            </x14:dxf>
          </x14:cfRule>
          <xm:sqref>E8</xm:sqref>
        </x14:conditionalFormatting>
        <x14:conditionalFormatting xmlns:xm="http://schemas.microsoft.com/office/excel/2006/main">
          <x14:cfRule type="cellIs" priority="115" operator="equal" id="{AF5DEA99-FF4A-42A2-80D5-1CD89B1541AC}">
            <xm:f>Listen!$A$3</xm:f>
            <x14:dxf>
              <font>
                <strike val="0"/>
                <color rgb="FFFF0000"/>
              </font>
            </x14:dxf>
          </x14:cfRule>
          <x14:cfRule type="cellIs" priority="116" operator="equal" id="{27481AA3-9E08-4575-8D1F-3B01B5CDCDDC}">
            <xm:f>Listen!$A$2</xm:f>
            <x14:dxf>
              <font>
                <strike val="0"/>
                <color rgb="FF00B050"/>
              </font>
            </x14:dxf>
          </x14:cfRule>
          <xm:sqref>C9</xm:sqref>
        </x14:conditionalFormatting>
        <x14:conditionalFormatting xmlns:xm="http://schemas.microsoft.com/office/excel/2006/main">
          <x14:cfRule type="cellIs" priority="107" operator="equal" id="{366607BB-4FC5-408A-A561-E543B2804EAC}">
            <xm:f>Listen!$A$3</xm:f>
            <x14:dxf>
              <font>
                <strike val="0"/>
                <color rgb="FFFF0000"/>
              </font>
            </x14:dxf>
          </x14:cfRule>
          <x14:cfRule type="cellIs" priority="108" operator="equal" id="{5EC84574-6D6D-4375-B03F-9449C0C9EF32}">
            <xm:f>Listen!$A$2</xm:f>
            <x14:dxf>
              <font>
                <strike val="0"/>
                <color rgb="FF00B050"/>
              </font>
            </x14:dxf>
          </x14:cfRule>
          <xm:sqref>E9</xm:sqref>
        </x14:conditionalFormatting>
        <x14:conditionalFormatting xmlns:xm="http://schemas.microsoft.com/office/excel/2006/main">
          <x14:cfRule type="cellIs" priority="97" operator="equal" id="{CD6F6E92-4B30-46E0-A07D-1075BD29A0BB}">
            <xm:f>Listen!$A$3</xm:f>
            <x14:dxf>
              <font>
                <strike val="0"/>
                <color rgb="FFFF0000"/>
              </font>
            </x14:dxf>
          </x14:cfRule>
          <x14:cfRule type="cellIs" priority="98" operator="equal" id="{D95F2A24-75FE-46F5-9131-84C21DC76FE1}">
            <xm:f>Listen!$A$2</xm:f>
            <x14:dxf>
              <font>
                <strike val="0"/>
                <color rgb="FF00B050"/>
              </font>
            </x14:dxf>
          </x14:cfRule>
          <xm:sqref>C14</xm:sqref>
        </x14:conditionalFormatting>
        <x14:conditionalFormatting xmlns:xm="http://schemas.microsoft.com/office/excel/2006/main">
          <x14:cfRule type="cellIs" priority="32" operator="equal" id="{DF384987-19A3-4510-9291-7E238E278EB8}">
            <xm:f>Listen!$A$3</xm:f>
            <x14:dxf>
              <font>
                <strike val="0"/>
                <color rgb="FFFF0000"/>
              </font>
            </x14:dxf>
          </x14:cfRule>
          <x14:cfRule type="cellIs" priority="33" operator="equal" id="{5E4A8051-85FC-4810-989B-6CA6D8BECF36}">
            <xm:f>Listen!$A$2</xm:f>
            <x14:dxf>
              <font>
                <strike val="0"/>
                <color rgb="FF00B050"/>
              </font>
            </x14:dxf>
          </x14:cfRule>
          <xm:sqref>E14</xm:sqref>
        </x14:conditionalFormatting>
        <x14:conditionalFormatting xmlns:xm="http://schemas.microsoft.com/office/excel/2006/main">
          <x14:cfRule type="cellIs" priority="30" operator="equal" id="{7229665E-D474-470A-9147-55F2748CAF84}">
            <xm:f>Listen!$A$3</xm:f>
            <x14:dxf>
              <font>
                <strike val="0"/>
                <color rgb="FFFF0000"/>
              </font>
            </x14:dxf>
          </x14:cfRule>
          <x14:cfRule type="cellIs" priority="31" operator="equal" id="{C6984D5B-3101-45ED-B15C-8CCDC0A3349C}">
            <xm:f>Listen!$A$2</xm:f>
            <x14:dxf>
              <font>
                <strike val="0"/>
                <color rgb="FF00B050"/>
              </font>
            </x14:dxf>
          </x14:cfRule>
          <xm:sqref>C15</xm:sqref>
        </x14:conditionalFormatting>
        <x14:conditionalFormatting xmlns:xm="http://schemas.microsoft.com/office/excel/2006/main">
          <x14:cfRule type="cellIs" priority="28" operator="equal" id="{5FBC034A-7395-4606-96E4-53FE1322C407}">
            <xm:f>Listen!$A$3</xm:f>
            <x14:dxf>
              <font>
                <strike val="0"/>
                <color rgb="FFFF0000"/>
              </font>
            </x14:dxf>
          </x14:cfRule>
          <x14:cfRule type="cellIs" priority="29" operator="equal" id="{3893D8FE-98FD-4914-8D2B-D18B809A1DBB}">
            <xm:f>Listen!$A$2</xm:f>
            <x14:dxf>
              <font>
                <strike val="0"/>
                <color rgb="FF00B050"/>
              </font>
            </x14:dxf>
          </x14:cfRule>
          <xm:sqref>E15</xm:sqref>
        </x14:conditionalFormatting>
        <x14:conditionalFormatting xmlns:xm="http://schemas.microsoft.com/office/excel/2006/main">
          <x14:cfRule type="cellIs" priority="26" operator="equal" id="{EE7FA5C9-8B7A-419B-A1B8-2397100A52E4}">
            <xm:f>Listen!$A$3</xm:f>
            <x14:dxf>
              <font>
                <strike val="0"/>
                <color rgb="FFFF0000"/>
              </font>
            </x14:dxf>
          </x14:cfRule>
          <x14:cfRule type="cellIs" priority="27" operator="equal" id="{2C27B9CF-EDF3-453A-81A6-5C45A35F9BA8}">
            <xm:f>Listen!$A$2</xm:f>
            <x14:dxf>
              <font>
                <strike val="0"/>
                <color rgb="FF00B050"/>
              </font>
            </x14:dxf>
          </x14:cfRule>
          <xm:sqref>C16:C17 C19:C21</xm:sqref>
        </x14:conditionalFormatting>
        <x14:conditionalFormatting xmlns:xm="http://schemas.microsoft.com/office/excel/2006/main">
          <x14:cfRule type="cellIs" priority="24" operator="equal" id="{6631C646-400A-4244-9F33-B0CB9C716EC3}">
            <xm:f>Listen!$A$3</xm:f>
            <x14:dxf>
              <font>
                <strike val="0"/>
                <color rgb="FFFF0000"/>
              </font>
            </x14:dxf>
          </x14:cfRule>
          <x14:cfRule type="cellIs" priority="25" operator="equal" id="{B88E7A76-E24F-4490-A4DB-6EC187232BC3}">
            <xm:f>Listen!$A$2</xm:f>
            <x14:dxf>
              <font>
                <strike val="0"/>
                <color rgb="FF00B050"/>
              </font>
            </x14:dxf>
          </x14:cfRule>
          <xm:sqref>E16:E17 E19:E21</xm:sqref>
        </x14:conditionalFormatting>
        <x14:conditionalFormatting xmlns:xm="http://schemas.microsoft.com/office/excel/2006/main">
          <x14:cfRule type="cellIs" priority="11" operator="equal" id="{1F5F7DFB-58F2-4833-9121-9741ACE495A3}">
            <xm:f>Listen!$A$3</xm:f>
            <x14:dxf>
              <font>
                <strike val="0"/>
                <color rgb="FFFF0000"/>
              </font>
            </x14:dxf>
          </x14:cfRule>
          <x14:cfRule type="cellIs" priority="12" operator="equal" id="{4BC4D259-FB20-4DA2-B18E-8B024B987E98}">
            <xm:f>Listen!$A$2</xm:f>
            <x14:dxf>
              <font>
                <strike val="0"/>
                <color rgb="FF00B050"/>
              </font>
            </x14:dxf>
          </x14:cfRule>
          <xm:sqref>E18</xm:sqref>
        </x14:conditionalFormatting>
        <x14:conditionalFormatting xmlns:xm="http://schemas.microsoft.com/office/excel/2006/main">
          <x14:cfRule type="cellIs" priority="13" operator="equal" id="{5FEABB1F-086C-4D8C-98D3-9C2A8E16D3C3}">
            <xm:f>Listen!$A$3</xm:f>
            <x14:dxf>
              <font>
                <strike val="0"/>
                <color rgb="FFFF0000"/>
              </font>
            </x14:dxf>
          </x14:cfRule>
          <x14:cfRule type="cellIs" priority="14" operator="equal" id="{6BDED054-E2C8-48A6-882B-E73F5BCF623A}">
            <xm:f>Listen!$A$2</xm:f>
            <x14:dxf>
              <font>
                <strike val="0"/>
                <color rgb="FF00B050"/>
              </font>
            </x14:dxf>
          </x14:cfRule>
          <xm:sqref>C18</xm:sqref>
        </x14:conditionalFormatting>
        <x14:conditionalFormatting xmlns:xm="http://schemas.microsoft.com/office/excel/2006/main">
          <x14:cfRule type="cellIs" priority="8" operator="equal" id="{72730A47-C9F6-41B1-8583-2F2B4D7B53BD}">
            <xm:f>Listen!$A$3</xm:f>
            <x14:dxf>
              <font>
                <strike val="0"/>
                <color rgb="FFFF0000"/>
              </font>
            </x14:dxf>
          </x14:cfRule>
          <x14:cfRule type="cellIs" priority="9" operator="equal" id="{116CADD7-97C6-4409-8124-9FBD2D51B75A}">
            <xm:f>Listen!$A$2</xm:f>
            <x14:dxf>
              <font>
                <strike val="0"/>
                <color rgb="FF00B050"/>
              </font>
            </x14:dxf>
          </x14:cfRule>
          <xm:sqref>C10:C11</xm:sqref>
        </x14:conditionalFormatting>
        <x14:conditionalFormatting xmlns:xm="http://schemas.microsoft.com/office/excel/2006/main">
          <x14:cfRule type="cellIs" priority="4" operator="equal" id="{FE5F1D17-9084-456E-A930-1D304BCD7341}">
            <xm:f>Listen!$A$3</xm:f>
            <x14:dxf>
              <font>
                <strike val="0"/>
                <color rgb="FFFF0000"/>
              </font>
            </x14:dxf>
          </x14:cfRule>
          <x14:cfRule type="cellIs" priority="5" operator="equal" id="{7D5D89A2-B626-4478-8B91-6ACAC43A1AC1}">
            <xm:f>Listen!$A$2</xm:f>
            <x14:dxf>
              <font>
                <strike val="0"/>
                <color rgb="FF00B050"/>
              </font>
            </x14:dxf>
          </x14:cfRule>
          <xm:sqref>E10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335" yWindow="835" count="8">
        <x14:dataValidation type="list" allowBlank="1" showInputMessage="1" showErrorMessage="1" error="Select Yes or No" prompt="Include option">
          <x14:formula1>
            <xm:f>Listen!$A$2:$A$3</xm:f>
          </x14:formula1>
          <xm:sqref>C6 E6 C9</xm:sqref>
        </x14:dataValidation>
        <x14:dataValidation type="list" allowBlank="1" showInputMessage="1" showErrorMessage="1" error="You cannot edit this field" prompt="Include option">
          <x14:formula1>
            <xm:f>Listen!$A$5</xm:f>
          </x14:formula1>
          <xm:sqref>C7:C8</xm:sqref>
        </x14:dataValidation>
        <x14:dataValidation type="list" allowBlank="1" showInputMessage="1" showErrorMessage="1" error="You cannot edit this field" prompt="Include option">
          <x14:formula1>
            <xm:f>Listen!$A$4:$A$4</xm:f>
          </x14:formula1>
          <xm:sqref>E8:E9</xm:sqref>
        </x14:dataValidation>
        <x14:dataValidation type="list" allowBlank="1" showInputMessage="1" showErrorMessage="1" error="Select scanner from list!" prompt="Select scanner">
          <x14:formula1>
            <xm:f>Listen!$C$12:$C$19</xm:f>
          </x14:formula1>
          <xm:sqref>F4</xm:sqref>
        </x14:dataValidation>
        <x14:dataValidation type="list" allowBlank="1" showInputMessage="1" showErrorMessage="1" error="Select scanner from list!" prompt="Select scanner">
          <x14:formula1>
            <xm:f>Listen!$C$2:$C$11</xm:f>
          </x14:formula1>
          <xm:sqref>B4</xm:sqref>
        </x14:dataValidation>
        <x14:dataValidation type="whole" allowBlank="1" showInputMessage="1" showErrorMessage="1" error="Number of years between 0 and 5!_x000a_" prompt="Number of years of coverage._x000a__x000a_">
          <x14:formula1>
            <xm:f>Listen!K2</xm:f>
          </x14:formula1>
          <x14:formula2>
            <xm:f>5</xm:f>
          </x14:formula2>
          <xm:sqref>C10:C11</xm:sqref>
        </x14:dataValidation>
        <x14:dataValidation type="list" allowBlank="1" showInputMessage="1" showErrorMessage="1" error="Select Yes or No" prompt="Include option">
          <x14:formula1>
            <xm:f>IF(VLOOKUP(F$4,Listen!$C$2:$V$19,5,FALSE)=0.09,Listen!$A$3:$A$3,Listen!$A$2:$A$3)</xm:f>
          </x14:formula1>
          <xm:sqref>E7</xm:sqref>
        </x14:dataValidation>
        <x14:dataValidation type="list" allowBlank="1" showInputMessage="1" showErrorMessage="1" error="Select currency from list" prompt="Select currency">
          <x14:formula1>
            <xm:f>Listen!$A$9:$A$11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Z23"/>
  <sheetViews>
    <sheetView topLeftCell="A20" workbookViewId="0">
      <selection sqref="A1:XFD19"/>
    </sheetView>
  </sheetViews>
  <sheetFormatPr baseColWidth="10" defaultColWidth="11.42578125" defaultRowHeight="15" x14ac:dyDescent="0.25"/>
  <cols>
    <col min="1" max="1" width="16.7109375" style="8" customWidth="1"/>
    <col min="2" max="2" width="10.5703125" style="8" customWidth="1"/>
    <col min="3" max="3" width="20.140625" style="8" customWidth="1"/>
    <col min="4" max="10" width="11.42578125" style="8"/>
    <col min="11" max="11" width="7" style="8" customWidth="1"/>
    <col min="12" max="21" width="11.42578125" style="8"/>
    <col min="22" max="22" width="13.140625" style="8" customWidth="1"/>
    <col min="23" max="23" width="65.28515625" style="8" customWidth="1"/>
    <col min="24" max="24" width="26" style="8" customWidth="1"/>
    <col min="25" max="16384" width="11.42578125" style="8"/>
  </cols>
  <sheetData>
    <row r="1" spans="1:26" ht="15.75" hidden="1" thickBot="1" x14ac:dyDescent="0.3">
      <c r="A1" s="7" t="s">
        <v>14</v>
      </c>
      <c r="B1" s="7" t="s">
        <v>19</v>
      </c>
      <c r="C1" s="14" t="s">
        <v>0</v>
      </c>
      <c r="D1" s="14" t="s">
        <v>9</v>
      </c>
      <c r="E1" s="14" t="s">
        <v>11</v>
      </c>
      <c r="F1" s="14" t="s">
        <v>75</v>
      </c>
      <c r="G1" s="14" t="s">
        <v>12</v>
      </c>
      <c r="H1" s="14" t="s">
        <v>50</v>
      </c>
      <c r="I1" s="14" t="s">
        <v>13</v>
      </c>
      <c r="J1" s="14" t="s">
        <v>47</v>
      </c>
      <c r="K1" s="14" t="s">
        <v>48</v>
      </c>
      <c r="L1" s="14" t="s">
        <v>38</v>
      </c>
      <c r="M1" s="14" t="s">
        <v>34</v>
      </c>
      <c r="N1" s="14" t="s">
        <v>49</v>
      </c>
      <c r="O1" s="14" t="s">
        <v>25</v>
      </c>
      <c r="P1" s="14" t="s">
        <v>45</v>
      </c>
      <c r="Q1" s="14" t="s">
        <v>26</v>
      </c>
      <c r="R1" s="14" t="s">
        <v>27</v>
      </c>
      <c r="S1" s="14" t="s">
        <v>32</v>
      </c>
      <c r="T1" s="14" t="s">
        <v>3</v>
      </c>
      <c r="U1" s="26" t="s">
        <v>37</v>
      </c>
      <c r="V1" s="26" t="s">
        <v>4</v>
      </c>
      <c r="W1" s="13"/>
      <c r="X1" s="27"/>
      <c r="Y1" s="27"/>
      <c r="Z1" s="27"/>
    </row>
    <row r="2" spans="1:26" hidden="1" x14ac:dyDescent="0.25">
      <c r="A2" s="15" t="s">
        <v>15</v>
      </c>
      <c r="B2" s="18">
        <v>1</v>
      </c>
      <c r="C2" s="15" t="s">
        <v>68</v>
      </c>
      <c r="D2" s="16">
        <f>IF($A$8="EUR",5890,(IF($A$8="GBP",0.8*5890,6990)))</f>
        <v>6990</v>
      </c>
      <c r="E2" s="16">
        <f>IF($A$8="EUR",450,(IF($A$8="GBP",0.8*450,590)))</f>
        <v>590</v>
      </c>
      <c r="F2" s="16">
        <v>0</v>
      </c>
      <c r="G2" s="16">
        <v>0</v>
      </c>
      <c r="H2" s="16">
        <v>0</v>
      </c>
      <c r="I2" s="16">
        <f>IF($A$8="EUR",450,(IF($A$8="GBP",0.8*450,600)))</f>
        <v>600</v>
      </c>
      <c r="J2" s="16">
        <f>IF($A$8="EUR",690,(IF($A$8="GBP",0.8*690,790)))</f>
        <v>790</v>
      </c>
      <c r="K2" s="16">
        <v>0</v>
      </c>
      <c r="L2" s="16">
        <f>IF($A$8="EUR",40,(IF($A$8="GBP",0.8*40,50)))</f>
        <v>50</v>
      </c>
      <c r="M2" s="16"/>
      <c r="N2" s="16">
        <f>IF($A$8="EUR",240,(IF($A$8="GBP",0.8*240,330)))</f>
        <v>330</v>
      </c>
      <c r="O2" s="16">
        <f>IF($A$8="EUR",100,(IF($A$8="GBP",0.8*100,140)))</f>
        <v>140</v>
      </c>
      <c r="P2" s="16"/>
      <c r="Q2" s="16">
        <f>IF($A$8="EUR",600,(IF($A$8="GBP",0.8*600,800)))</f>
        <v>800</v>
      </c>
      <c r="R2" s="16"/>
      <c r="S2" s="16">
        <f>IF($A$8="EUR",1500,(IF($A$8="GBP",0.8*1500,2000)))</f>
        <v>2000</v>
      </c>
      <c r="T2" s="17" t="s">
        <v>6</v>
      </c>
      <c r="U2" s="17">
        <v>1</v>
      </c>
      <c r="V2" s="18" t="s">
        <v>1</v>
      </c>
      <c r="W2" s="28" t="s">
        <v>76</v>
      </c>
      <c r="X2" s="27"/>
      <c r="Y2" s="27"/>
      <c r="Z2" s="27"/>
    </row>
    <row r="3" spans="1:26" hidden="1" x14ac:dyDescent="0.25">
      <c r="A3" s="19" t="s">
        <v>16</v>
      </c>
      <c r="B3" s="20">
        <v>0</v>
      </c>
      <c r="C3" s="19" t="s">
        <v>69</v>
      </c>
      <c r="D3" s="11">
        <f>IF($A$8="EUR",6990,(IF($A$8="GBP",0.8*6990,8890)))</f>
        <v>8890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f>IF($A$8="EUR",690,(IF($A$8="GBP",0.8*690,790)))</f>
        <v>790</v>
      </c>
      <c r="K3" s="11">
        <v>1</v>
      </c>
      <c r="L3" s="11">
        <f t="shared" ref="L3:L5" si="0">IF($A$8="EUR",40,(IF($A$8="GBP",0.8*40,50)))</f>
        <v>50</v>
      </c>
      <c r="M3" s="11"/>
      <c r="N3" s="11">
        <f>IF($A$8="EUR",240,(IF($A$8="GBP",0.8*240,330)))</f>
        <v>330</v>
      </c>
      <c r="O3" s="11">
        <f>IF($A$8="EUR",100,(IF($A$8="GBP",0.8*100,140)))</f>
        <v>140</v>
      </c>
      <c r="P3" s="11"/>
      <c r="Q3" s="11">
        <f t="shared" ref="Q3:Q5" si="1">IF($A$8="EUR",600,(IF($A$8="GBP",0.8*600,800)))</f>
        <v>800</v>
      </c>
      <c r="R3" s="11"/>
      <c r="S3" s="11">
        <f t="shared" ref="S3:S5" si="2">IF($A$8="EUR",1500,(IF($A$8="GBP",0.8*1500,2000)))</f>
        <v>2000</v>
      </c>
      <c r="T3" s="12" t="s">
        <v>6</v>
      </c>
      <c r="U3" s="12">
        <v>1</v>
      </c>
      <c r="V3" s="20" t="s">
        <v>1</v>
      </c>
      <c r="W3" s="28" t="s">
        <v>76</v>
      </c>
      <c r="X3" s="27"/>
      <c r="Y3" s="27"/>
      <c r="Z3" s="27"/>
    </row>
    <row r="4" spans="1:26" hidden="1" x14ac:dyDescent="0.25">
      <c r="A4" s="19" t="s">
        <v>17</v>
      </c>
      <c r="B4" s="20">
        <v>1</v>
      </c>
      <c r="C4" s="19" t="s">
        <v>70</v>
      </c>
      <c r="D4" s="11">
        <f>IF($A$8="EUR",6990,(IF($A$8="GBP",0.8*6990,8490)))</f>
        <v>8490</v>
      </c>
      <c r="E4" s="11">
        <f>IF($A$8="EUR",490,(IF($A$8="GBP",0.8*490,650)))</f>
        <v>650</v>
      </c>
      <c r="F4" s="11">
        <v>0</v>
      </c>
      <c r="G4" s="11">
        <v>0</v>
      </c>
      <c r="H4" s="11">
        <v>0</v>
      </c>
      <c r="I4" s="11">
        <f>IF($A$8="EUR",450,(IF($A$8="GBP",0.8*450,600)))</f>
        <v>600</v>
      </c>
      <c r="J4" s="11">
        <f>IF($A$8="EUR",790,(IF($A$8="GBP",0.8*790,990)))</f>
        <v>990</v>
      </c>
      <c r="K4" s="11">
        <v>0</v>
      </c>
      <c r="L4" s="11">
        <f t="shared" si="0"/>
        <v>50</v>
      </c>
      <c r="M4" s="11"/>
      <c r="N4" s="11">
        <f>IF($A$8="EUR",320,(IF($A$8="GBP",0.8*320,440)))</f>
        <v>440</v>
      </c>
      <c r="O4" s="11">
        <f>IF($A$8="EUR",100,(IF($A$8="GBP",0.8*100,140)))</f>
        <v>140</v>
      </c>
      <c r="P4" s="11"/>
      <c r="Q4" s="11">
        <f t="shared" si="1"/>
        <v>800</v>
      </c>
      <c r="R4" s="11"/>
      <c r="S4" s="11">
        <f t="shared" si="2"/>
        <v>2000</v>
      </c>
      <c r="T4" s="12" t="s">
        <v>6</v>
      </c>
      <c r="U4" s="12">
        <v>1</v>
      </c>
      <c r="V4" s="20" t="s">
        <v>1</v>
      </c>
      <c r="W4" s="28" t="s">
        <v>77</v>
      </c>
      <c r="X4" s="27"/>
      <c r="Y4" s="27"/>
      <c r="Z4" s="27"/>
    </row>
    <row r="5" spans="1:26" ht="15.75" hidden="1" thickBot="1" x14ac:dyDescent="0.3">
      <c r="A5" s="21" t="s">
        <v>18</v>
      </c>
      <c r="B5" s="24">
        <v>0</v>
      </c>
      <c r="C5" s="19" t="s">
        <v>71</v>
      </c>
      <c r="D5" s="11">
        <f>IF($A$8="EUR",8390,(IF($A$8="GBP",0.8*8390,10490)))</f>
        <v>10490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f>IF($A$8="EUR",790,(IF($A$8="GBP",0.8*790,990)))</f>
        <v>990</v>
      </c>
      <c r="K5" s="11">
        <v>1</v>
      </c>
      <c r="L5" s="11">
        <f t="shared" si="0"/>
        <v>50</v>
      </c>
      <c r="M5" s="11"/>
      <c r="N5" s="11">
        <f>IF($A$8="EUR",320,(IF($A$8="GBP",0.8*320,440)))</f>
        <v>440</v>
      </c>
      <c r="O5" s="11">
        <f>IF($A$8="EUR",100,(IF($A$8="GBP",0.8*100,140)))</f>
        <v>140</v>
      </c>
      <c r="P5" s="11"/>
      <c r="Q5" s="11">
        <f t="shared" si="1"/>
        <v>800</v>
      </c>
      <c r="R5" s="11"/>
      <c r="S5" s="11">
        <f t="shared" si="2"/>
        <v>2000</v>
      </c>
      <c r="T5" s="12" t="s">
        <v>6</v>
      </c>
      <c r="U5" s="12">
        <v>1</v>
      </c>
      <c r="V5" s="20" t="s">
        <v>1</v>
      </c>
      <c r="W5" s="28" t="s">
        <v>77</v>
      </c>
      <c r="X5" s="27"/>
      <c r="Y5" s="27"/>
      <c r="Z5" s="27"/>
    </row>
    <row r="6" spans="1:26" hidden="1" x14ac:dyDescent="0.25">
      <c r="C6" s="19" t="s">
        <v>78</v>
      </c>
      <c r="D6" s="11">
        <f>IF($A$8="EUR",7990,(IF($A$8="GBP",0.8*7990,9590)))</f>
        <v>9590</v>
      </c>
      <c r="E6" s="11">
        <f>IF($A$8="EUR",450,(IF($A$8="GBP",0.8*450,590)))</f>
        <v>590</v>
      </c>
      <c r="F6" s="11">
        <v>0</v>
      </c>
      <c r="G6" s="11">
        <v>0</v>
      </c>
      <c r="H6" s="11">
        <v>0</v>
      </c>
      <c r="I6" s="11">
        <f>IF($A$8="EUR",450,(IF($A$8="GBP",0.8*450,600)))</f>
        <v>600</v>
      </c>
      <c r="J6" s="11">
        <f>IF($A$8="EUR",890,(IF($A$8="GBP",0.8*890,990)))</f>
        <v>990</v>
      </c>
      <c r="K6" s="11">
        <v>0</v>
      </c>
      <c r="L6" s="11">
        <f>IF($A$8="EUR",120,(IF($A$8="GBP",0.8*120,160)))</f>
        <v>160</v>
      </c>
      <c r="M6" s="11">
        <f>IF($A$8="EUR",150,(IF($A$8="GBP",0.8*150,210)))</f>
        <v>210</v>
      </c>
      <c r="N6" s="11"/>
      <c r="O6" s="11">
        <f>IF($A$8="EUR",180,(IF($A$8="GBP",0.8*180,250)))</f>
        <v>250</v>
      </c>
      <c r="P6" s="11"/>
      <c r="Q6" s="11"/>
      <c r="R6" s="11">
        <f>IF($A$8="EUR",2800/3,(IF($A$8="GBP",0.8*2800/3,3900/3)))</f>
        <v>1300</v>
      </c>
      <c r="S6" s="11">
        <f>IF($A$8="EUR",800,(IF($A$8="GBP",0.8*800,1100)))</f>
        <v>1100</v>
      </c>
      <c r="T6" s="12" t="s">
        <v>5</v>
      </c>
      <c r="U6" s="12">
        <v>3</v>
      </c>
      <c r="V6" s="20" t="s">
        <v>1</v>
      </c>
      <c r="W6" s="28" t="s">
        <v>85</v>
      </c>
      <c r="X6" s="27"/>
      <c r="Y6" s="27"/>
      <c r="Z6" s="27"/>
    </row>
    <row r="7" spans="1:26" ht="15.75" hidden="1" thickBot="1" x14ac:dyDescent="0.3">
      <c r="A7" s="7" t="s">
        <v>64</v>
      </c>
      <c r="C7" s="19" t="s">
        <v>79</v>
      </c>
      <c r="D7" s="11">
        <f>IF($A$8="EUR",8890,(IF($A$8="GBP",0.8*8890,9590)))</f>
        <v>9590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f>IF($A$8="EUR",890,(IF($A$8="GBP",0.8*890,990)))</f>
        <v>990</v>
      </c>
      <c r="K7" s="11">
        <v>1</v>
      </c>
      <c r="L7" s="11">
        <f>IF($A$8="EUR",120,(IF($A$8="GBP",0.8*120,160)))</f>
        <v>160</v>
      </c>
      <c r="M7" s="11">
        <f>IF($A$8="EUR",150,(IF($A$8="GBP",0.8*150,210)))</f>
        <v>210</v>
      </c>
      <c r="N7" s="11"/>
      <c r="O7" s="11">
        <f t="shared" ref="O7:O11" si="3">IF($A$8="EUR",180,(IF($A$8="GBP",0.8*180,250)))</f>
        <v>250</v>
      </c>
      <c r="P7" s="11"/>
      <c r="Q7" s="11"/>
      <c r="R7" s="11">
        <f>IF($A$8="EUR",2800/3,(IF($A$8="GBP",0.8*2800/3,3900/3)))</f>
        <v>1300</v>
      </c>
      <c r="S7" s="11">
        <f t="shared" ref="S7:S11" si="4">IF($A$8="EUR",800,(IF($A$8="GBP",0.8*800,1100)))</f>
        <v>1100</v>
      </c>
      <c r="T7" s="12" t="s">
        <v>5</v>
      </c>
      <c r="U7" s="12">
        <v>3</v>
      </c>
      <c r="V7" s="20" t="s">
        <v>1</v>
      </c>
      <c r="W7" s="28" t="s">
        <v>85</v>
      </c>
      <c r="X7" s="27"/>
      <c r="Y7" s="27"/>
      <c r="Z7" s="27"/>
    </row>
    <row r="8" spans="1:26" hidden="1" x14ac:dyDescent="0.25">
      <c r="A8" s="77" t="str">
        <f>'Productivity Calculator'!D2</f>
        <v>USD</v>
      </c>
      <c r="B8" s="78" t="s">
        <v>72</v>
      </c>
      <c r="C8" s="19" t="s">
        <v>80</v>
      </c>
      <c r="D8" s="11">
        <f>IF($A$8="EUR",9990,(IF($A$8="GBP",0.8*9990,11990)))</f>
        <v>11990</v>
      </c>
      <c r="E8" s="11">
        <f>IF($A$8="EUR",490,(IF($A$8="GBP",0.8*490,650)))</f>
        <v>650</v>
      </c>
      <c r="F8" s="11">
        <v>0</v>
      </c>
      <c r="G8" s="11">
        <v>0</v>
      </c>
      <c r="H8" s="11">
        <v>0</v>
      </c>
      <c r="I8" s="11">
        <f>IF($A$8="EUR",450,(IF($A$8="GBP",0.8*450,600)))</f>
        <v>600</v>
      </c>
      <c r="J8" s="11">
        <f>IF($A$8="EUR",1190,(IF($A$8="GBP",0.8*1190,1390)))</f>
        <v>1390</v>
      </c>
      <c r="K8" s="11">
        <v>0</v>
      </c>
      <c r="L8" s="11">
        <f>IF($A$8="EUR",150,(IF($A$8="GBP",0.8*150,200)))</f>
        <v>200</v>
      </c>
      <c r="M8" s="11">
        <f>IF($A$8="EUR",250,(IF($A$8="GBP",0.8*250,350)))</f>
        <v>350</v>
      </c>
      <c r="N8" s="11"/>
      <c r="O8" s="11">
        <f t="shared" si="3"/>
        <v>250</v>
      </c>
      <c r="P8" s="11"/>
      <c r="Q8" s="11"/>
      <c r="R8" s="11">
        <f>IF($A$8="EUR",5000/4,(IF($A$8="GBP",0.8*5000/4,6500/4)))</f>
        <v>1625</v>
      </c>
      <c r="S8" s="11">
        <f t="shared" si="4"/>
        <v>1100</v>
      </c>
      <c r="T8" s="12" t="s">
        <v>5</v>
      </c>
      <c r="U8" s="12">
        <v>4</v>
      </c>
      <c r="V8" s="20" t="s">
        <v>1</v>
      </c>
      <c r="W8" s="28" t="s">
        <v>86</v>
      </c>
      <c r="X8" s="27"/>
      <c r="Y8" s="27"/>
      <c r="Z8" s="27"/>
    </row>
    <row r="9" spans="1:26" hidden="1" x14ac:dyDescent="0.25">
      <c r="A9" s="19" t="s">
        <v>65</v>
      </c>
      <c r="B9" s="20" t="s">
        <v>74</v>
      </c>
      <c r="C9" s="19" t="s">
        <v>81</v>
      </c>
      <c r="D9" s="11">
        <f>IF($A$8="EUR",11690,(IF($A$8="GBP",0.8*11690,14490)))</f>
        <v>14490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f>IF($A$8="EUR",1190,(IF($A$8="GBP",0.8*1190,1390)))</f>
        <v>1390</v>
      </c>
      <c r="K9" s="11">
        <v>1</v>
      </c>
      <c r="L9" s="11">
        <f t="shared" ref="L9:L11" si="5">IF($A$8="EUR",150,(IF($A$8="GBP",0.8*150,200)))</f>
        <v>200</v>
      </c>
      <c r="M9" s="11">
        <f t="shared" ref="M9:M11" si="6">IF($A$8="EUR",250,(IF($A$8="GBP",0.8*250,350)))</f>
        <v>350</v>
      </c>
      <c r="N9" s="11"/>
      <c r="O9" s="11">
        <f t="shared" si="3"/>
        <v>250</v>
      </c>
      <c r="P9" s="11"/>
      <c r="Q9" s="11"/>
      <c r="R9" s="11">
        <f t="shared" ref="R9:R11" si="7">IF($A$8="EUR",5000/4,(IF($A$8="GBP",0.8*5000/4,6500/4)))</f>
        <v>1625</v>
      </c>
      <c r="S9" s="11">
        <f t="shared" si="4"/>
        <v>1100</v>
      </c>
      <c r="T9" s="12" t="s">
        <v>5</v>
      </c>
      <c r="U9" s="12">
        <v>4</v>
      </c>
      <c r="V9" s="20" t="s">
        <v>1</v>
      </c>
      <c r="W9" s="28" t="s">
        <v>86</v>
      </c>
      <c r="X9" s="27"/>
      <c r="Y9" s="27"/>
      <c r="Z9" s="27"/>
    </row>
    <row r="10" spans="1:26" hidden="1" x14ac:dyDescent="0.25">
      <c r="A10" s="19" t="s">
        <v>73</v>
      </c>
      <c r="B10" s="20" t="s">
        <v>74</v>
      </c>
      <c r="C10" s="19" t="s">
        <v>82</v>
      </c>
      <c r="D10" s="11">
        <f>IF($A$8="EUR",11990,(IF($A$8="GBP",0.8*11990,14490)))</f>
        <v>14490</v>
      </c>
      <c r="E10" s="11">
        <f>IF($A$8="EUR",490,(IF($A$8="GBP",0.8*490,650)))</f>
        <v>650</v>
      </c>
      <c r="F10" s="11">
        <v>0</v>
      </c>
      <c r="G10" s="11">
        <v>0</v>
      </c>
      <c r="H10" s="11">
        <v>0</v>
      </c>
      <c r="I10" s="11">
        <f>IF($A$8="EUR",450,(IF($A$8="GBP",0.8*450,600)))</f>
        <v>600</v>
      </c>
      <c r="J10" s="11">
        <f>IF($A$8="EUR",1190,(IF($A$8="GBP",0.8*1190,1390)))</f>
        <v>1390</v>
      </c>
      <c r="K10" s="11">
        <v>0</v>
      </c>
      <c r="L10" s="11">
        <f t="shared" si="5"/>
        <v>200</v>
      </c>
      <c r="M10" s="11">
        <f t="shared" si="6"/>
        <v>350</v>
      </c>
      <c r="N10" s="11"/>
      <c r="O10" s="11">
        <f t="shared" si="3"/>
        <v>250</v>
      </c>
      <c r="P10" s="11"/>
      <c r="Q10" s="11"/>
      <c r="R10" s="11">
        <f t="shared" si="7"/>
        <v>1625</v>
      </c>
      <c r="S10" s="11">
        <f t="shared" si="4"/>
        <v>1100</v>
      </c>
      <c r="T10" s="12" t="s">
        <v>5</v>
      </c>
      <c r="U10" s="12">
        <v>5</v>
      </c>
      <c r="V10" s="20" t="s">
        <v>1</v>
      </c>
      <c r="W10" s="28" t="s">
        <v>87</v>
      </c>
      <c r="X10" s="27"/>
      <c r="Y10" s="27"/>
      <c r="Z10" s="27"/>
    </row>
    <row r="11" spans="1:26" ht="15.75" hidden="1" thickBot="1" x14ac:dyDescent="0.3">
      <c r="A11" s="21" t="s">
        <v>66</v>
      </c>
      <c r="B11" s="24" t="s">
        <v>74</v>
      </c>
      <c r="C11" s="21" t="s">
        <v>83</v>
      </c>
      <c r="D11" s="22">
        <f>IF($A$8="EUR",13690,(IF($A$8="GBP",0.8*13690,16990)))</f>
        <v>16990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f>IF($A$8="EUR",1190,(IF($A$8="GBP",0.8*1190,1390)))</f>
        <v>1390</v>
      </c>
      <c r="K11" s="22">
        <v>1</v>
      </c>
      <c r="L11" s="22">
        <f t="shared" si="5"/>
        <v>200</v>
      </c>
      <c r="M11" s="22">
        <f t="shared" si="6"/>
        <v>350</v>
      </c>
      <c r="N11" s="22"/>
      <c r="O11" s="22">
        <f t="shared" si="3"/>
        <v>250</v>
      </c>
      <c r="P11" s="22"/>
      <c r="Q11" s="22"/>
      <c r="R11" s="22">
        <f t="shared" si="7"/>
        <v>1625</v>
      </c>
      <c r="S11" s="22">
        <f t="shared" si="4"/>
        <v>1100</v>
      </c>
      <c r="T11" s="23" t="s">
        <v>5</v>
      </c>
      <c r="U11" s="23">
        <v>5</v>
      </c>
      <c r="V11" s="24" t="s">
        <v>1</v>
      </c>
      <c r="W11" s="28" t="s">
        <v>87</v>
      </c>
      <c r="X11" s="27"/>
      <c r="Y11" s="27"/>
      <c r="Z11" s="27"/>
    </row>
    <row r="12" spans="1:26" hidden="1" x14ac:dyDescent="0.25">
      <c r="C12" s="79" t="s">
        <v>60</v>
      </c>
      <c r="D12" s="80">
        <f>IF($A$8="EUR",8350,(IF($A$8="GBP",6350,14900)))</f>
        <v>14900</v>
      </c>
      <c r="E12" s="80">
        <f>IF($A$8="USD",890,(IF($A$8="EUR",ROUND(890/1.4,9),395)))</f>
        <v>890</v>
      </c>
      <c r="F12" s="80">
        <v>0</v>
      </c>
      <c r="G12" s="80">
        <v>0</v>
      </c>
      <c r="H12" s="80">
        <f>IF($A$8="USD",625,(IF($A$8="EUR",ROUND(625/1.4,9),500)))</f>
        <v>625</v>
      </c>
      <c r="I12" s="80">
        <f>IF($A$8="USD",950,(IF($A$8="EUR",ROUND(950/1.4,9),375)))</f>
        <v>950</v>
      </c>
      <c r="J12" s="80">
        <f>IF($A$8="USD",1295,(IF($A$8="EUR",ROUND(1295/1.4,9),ROUND(1295*0.6,0))))</f>
        <v>1295</v>
      </c>
      <c r="K12" s="80">
        <v>0</v>
      </c>
      <c r="L12" s="80">
        <f>IF($A$8="USD",296,(IF($A$8="EUR",ROUND(296/1.4,9),ROUND(296*0.6,0))))</f>
        <v>296</v>
      </c>
      <c r="M12" s="80">
        <f>IF($A$8="USD",569,(IF($A$8="EUR",ROUND(569/1.4,9),ROUND(569*0.6,0))))</f>
        <v>569</v>
      </c>
      <c r="N12" s="80">
        <v>0</v>
      </c>
      <c r="O12" s="80">
        <f>IF($A$8="USD",367,(IF($A$8="EUR",ROUND(367/1.4,9),ROUND(367*0.6,0))))</f>
        <v>367</v>
      </c>
      <c r="P12" s="80">
        <f>IF($A$8="USD",679,(IF($A$8="EUR",ROUND(679/1.4,9),ROUND(679*0.6,0))))</f>
        <v>679</v>
      </c>
      <c r="Q12" s="80"/>
      <c r="R12" s="80">
        <f>IF($A$8="USD",1223,(IF($A$8="EUR",ROUND(1223/1.4,9),ROUND(1223*0.6,0))))</f>
        <v>1223</v>
      </c>
      <c r="S12" s="81">
        <f>IF($A$8="USD",3875,(IF($A$8="EUR",ROUND(3875/1.4,9),ROUND(3875*0.6,0))))</f>
        <v>3875</v>
      </c>
      <c r="T12" s="81" t="s">
        <v>5</v>
      </c>
      <c r="U12" s="82">
        <v>3</v>
      </c>
      <c r="V12" s="83" t="s">
        <v>2</v>
      </c>
      <c r="W12" s="28" t="s">
        <v>10</v>
      </c>
      <c r="X12" s="28" t="s">
        <v>28</v>
      </c>
      <c r="Y12" s="27"/>
      <c r="Z12" s="27"/>
    </row>
    <row r="13" spans="1:26" hidden="1" x14ac:dyDescent="0.25">
      <c r="C13" s="29" t="s">
        <v>61</v>
      </c>
      <c r="D13" s="11">
        <f>IF($A$8="EUR",10420,(IF($A$8="GBP",7250,16900)))</f>
        <v>16900</v>
      </c>
      <c r="E13" s="80">
        <f>IF($A$8="USD",890,(IF($A$8="EUR",ROUND(890/1.4,9),395)))</f>
        <v>890</v>
      </c>
      <c r="F13" s="11">
        <v>0</v>
      </c>
      <c r="G13" s="11">
        <v>0</v>
      </c>
      <c r="H13" s="11">
        <f t="shared" ref="H13:I19" si="8">H12</f>
        <v>625</v>
      </c>
      <c r="I13" s="11">
        <f t="shared" si="8"/>
        <v>950</v>
      </c>
      <c r="J13" s="11">
        <f t="shared" ref="J13:J17" si="9">J12</f>
        <v>1295</v>
      </c>
      <c r="K13" s="11">
        <v>0</v>
      </c>
      <c r="L13" s="11">
        <f t="shared" ref="L13:L19" si="10">IF($A$8="USD",296,(IF($A$8="EUR",ROUND(296/1.4,9),ROUND(296*0.6,0))))</f>
        <v>296</v>
      </c>
      <c r="M13" s="11">
        <f t="shared" ref="M13:M15" si="11">IF($A$8="USD",569,(IF($A$8="EUR",ROUND(569/1.4,9),ROUND(569*0.6,0))))</f>
        <v>569</v>
      </c>
      <c r="N13" s="11">
        <f t="shared" ref="N13:N15" si="12">N12</f>
        <v>0</v>
      </c>
      <c r="O13" s="11">
        <f t="shared" ref="O13:O15" si="13">IF($A$8="USD",367,(IF($A$8="EUR",ROUND(367/1.4,9),ROUND(367*0.6,0))))</f>
        <v>367</v>
      </c>
      <c r="P13" s="11">
        <f>IF($A$8="USD",679,(IF($A$8="EUR",ROUND(679/1.4,9),ROUND(679*0.6,0))))</f>
        <v>679</v>
      </c>
      <c r="Q13" s="11"/>
      <c r="R13" s="11">
        <f>IF($A$8="USD",1223,(IF($A$8="EUR",ROUND(1223/1.4,9),ROUND(1223*0.6,0))))</f>
        <v>1223</v>
      </c>
      <c r="S13" s="12">
        <f>IF($A$8="USD",3875,(IF($A$8="EUR",ROUND(3875/1.4,9),ROUND(3875*0.6,0))))</f>
        <v>3875</v>
      </c>
      <c r="T13" s="12" t="s">
        <v>5</v>
      </c>
      <c r="U13" s="44">
        <v>3</v>
      </c>
      <c r="V13" s="30" t="s">
        <v>2</v>
      </c>
      <c r="W13" s="28" t="s">
        <v>10</v>
      </c>
      <c r="X13" s="27" t="s">
        <v>28</v>
      </c>
      <c r="Y13" s="27"/>
      <c r="Z13" s="27"/>
    </row>
    <row r="14" spans="1:26" hidden="1" x14ac:dyDescent="0.25">
      <c r="C14" s="29" t="s">
        <v>62</v>
      </c>
      <c r="D14" s="11">
        <f>IF($A$8="EUR",9350,(IF($A$8="GBP",7850,15900)))</f>
        <v>15900</v>
      </c>
      <c r="E14" s="80">
        <f>IF($A$8="USD",890,(IF($A$8="EUR",ROUND(890/1.4,9),395)))</f>
        <v>890</v>
      </c>
      <c r="F14" s="11">
        <v>0</v>
      </c>
      <c r="G14" s="11">
        <v>0</v>
      </c>
      <c r="H14" s="11">
        <f t="shared" si="8"/>
        <v>625</v>
      </c>
      <c r="I14" s="11">
        <f t="shared" si="8"/>
        <v>950</v>
      </c>
      <c r="J14" s="11">
        <f t="shared" si="9"/>
        <v>1295</v>
      </c>
      <c r="K14" s="11">
        <v>0</v>
      </c>
      <c r="L14" s="11">
        <f t="shared" si="10"/>
        <v>296</v>
      </c>
      <c r="M14" s="11">
        <f t="shared" si="11"/>
        <v>569</v>
      </c>
      <c r="N14" s="11">
        <f t="shared" si="12"/>
        <v>0</v>
      </c>
      <c r="O14" s="11">
        <f t="shared" si="13"/>
        <v>367</v>
      </c>
      <c r="P14" s="11">
        <f>IF($A$8="USD",679,(IF($A$8="EUR",ROUND(679/1.4,9),ROUND(679*0.6,0))))</f>
        <v>679</v>
      </c>
      <c r="Q14" s="11"/>
      <c r="R14" s="11">
        <f>IF($A$8="USD",1223,(IF($A$8="EUR",ROUND(1223/1.4,9),ROUND(1223*0.6,0))))</f>
        <v>1223</v>
      </c>
      <c r="S14" s="12">
        <f>IF($A$8="USD",4715,(IF($A$8="EUR",ROUND(4715/1.4,9),ROUND(4715*0.6,0))))</f>
        <v>4715</v>
      </c>
      <c r="T14" s="12" t="s">
        <v>5</v>
      </c>
      <c r="U14" s="44">
        <v>4</v>
      </c>
      <c r="V14" s="30" t="s">
        <v>2</v>
      </c>
      <c r="W14" s="28" t="s">
        <v>10</v>
      </c>
      <c r="X14" s="27" t="s">
        <v>28</v>
      </c>
      <c r="Y14" s="27"/>
      <c r="Z14" s="27"/>
    </row>
    <row r="15" spans="1:26" hidden="1" x14ac:dyDescent="0.25">
      <c r="C15" s="29" t="s">
        <v>63</v>
      </c>
      <c r="D15" s="11">
        <f>IF($A$8="EUR",11000,(IF($A$8="GBP",9650,18900)))</f>
        <v>18900</v>
      </c>
      <c r="E15" s="80">
        <f>IF($A$8="USD",890,(IF($A$8="EUR",ROUND(890/1.4,9),395)))</f>
        <v>890</v>
      </c>
      <c r="F15" s="11">
        <v>0</v>
      </c>
      <c r="G15" s="11">
        <v>0</v>
      </c>
      <c r="H15" s="11">
        <f t="shared" si="8"/>
        <v>625</v>
      </c>
      <c r="I15" s="11">
        <f t="shared" si="8"/>
        <v>950</v>
      </c>
      <c r="J15" s="11">
        <f t="shared" si="9"/>
        <v>1295</v>
      </c>
      <c r="K15" s="11">
        <v>0</v>
      </c>
      <c r="L15" s="11">
        <f t="shared" si="10"/>
        <v>296</v>
      </c>
      <c r="M15" s="11">
        <f t="shared" si="11"/>
        <v>569</v>
      </c>
      <c r="N15" s="11">
        <f t="shared" si="12"/>
        <v>0</v>
      </c>
      <c r="O15" s="11">
        <f t="shared" si="13"/>
        <v>367</v>
      </c>
      <c r="P15" s="11">
        <f>IF($A$8="USD",679,(IF($A$8="EUR",ROUND(679/1.4,9),ROUND(679*0.6,0))))</f>
        <v>679</v>
      </c>
      <c r="Q15" s="11"/>
      <c r="R15" s="11">
        <f>IF($A$8="USD",1223,(IF($A$8="EUR",ROUND(1223/1.4,9),ROUND(1223*0.6,0))))</f>
        <v>1223</v>
      </c>
      <c r="S15" s="12">
        <f>IF($A$8="USD",4715,(IF($A$8="EUR",ROUND(4715/1.4,9),ROUND(4715*0.6,0))))</f>
        <v>4715</v>
      </c>
      <c r="T15" s="12" t="s">
        <v>5</v>
      </c>
      <c r="U15" s="44">
        <v>4</v>
      </c>
      <c r="V15" s="30" t="s">
        <v>2</v>
      </c>
      <c r="W15" s="28" t="s">
        <v>10</v>
      </c>
      <c r="X15" s="27" t="s">
        <v>28</v>
      </c>
      <c r="Y15" s="27"/>
      <c r="Z15" s="27"/>
    </row>
    <row r="16" spans="1:26" hidden="1" x14ac:dyDescent="0.25">
      <c r="C16" s="29" t="s">
        <v>7</v>
      </c>
      <c r="D16" s="11">
        <f>IF($A$8="EUR",5000,(IF($A$8="GBP",4095,7270)))</f>
        <v>7270</v>
      </c>
      <c r="E16" s="11">
        <f>IF($A$8="USD",600,(IF($A$8="EUR",ROUND(600/1.4,9),395)))</f>
        <v>600</v>
      </c>
      <c r="F16" s="11">
        <v>0</v>
      </c>
      <c r="G16" s="25">
        <v>0.09</v>
      </c>
      <c r="H16" s="11">
        <f t="shared" si="8"/>
        <v>625</v>
      </c>
      <c r="I16" s="11">
        <f t="shared" si="8"/>
        <v>950</v>
      </c>
      <c r="J16" s="11">
        <f t="shared" si="9"/>
        <v>1295</v>
      </c>
      <c r="K16" s="11">
        <v>0</v>
      </c>
      <c r="L16" s="11">
        <f t="shared" si="10"/>
        <v>296</v>
      </c>
      <c r="M16" s="11">
        <f>IF($A$8="USD",232,(IF($A$8="EUR",ROUND(232/1.4,9),ROUND(232*0.6,0))))</f>
        <v>232</v>
      </c>
      <c r="N16" s="11">
        <f>IF($A$8="USD",434,(IF($A$8="EUR",ROUND(434/1.4,9),ROUND(434*0.6,0))))</f>
        <v>434</v>
      </c>
      <c r="O16" s="11">
        <f>IF($A$8="USD",406,(IF($A$8="EUR",ROUND(406/1.4,9),ROUND(406*0.6,0))))</f>
        <v>406</v>
      </c>
      <c r="P16" s="11"/>
      <c r="Q16" s="11">
        <f>IF($A$8="USD",3414,(IF($A$8="EUR",ROUND(3414/1.4,9),ROUND(3414*0.6,0))))</f>
        <v>3414</v>
      </c>
      <c r="R16" s="11"/>
      <c r="S16" s="12">
        <f>IF($A$8="USD",3165,(IF($A$8="EUR",ROUND(3165/1.4,9),ROUND(3165*0.6,0))))</f>
        <v>3165</v>
      </c>
      <c r="T16" s="12" t="s">
        <v>6</v>
      </c>
      <c r="U16" s="44">
        <v>1</v>
      </c>
      <c r="V16" s="30" t="s">
        <v>2</v>
      </c>
      <c r="W16" s="28" t="s">
        <v>10</v>
      </c>
      <c r="X16" s="27" t="s">
        <v>28</v>
      </c>
      <c r="Y16" s="27"/>
      <c r="Z16" s="27"/>
    </row>
    <row r="17" spans="1:26" hidden="1" x14ac:dyDescent="0.25">
      <c r="C17" s="29" t="s">
        <v>8</v>
      </c>
      <c r="D17" s="11">
        <f>IF($A$8="EUR",5600,(IF($A$8="GBP",4495,8390)))</f>
        <v>8390</v>
      </c>
      <c r="E17" s="11">
        <f>IF($A$8="USD",600,(IF($A$8="EUR",ROUND(600/1.4,9),395)))</f>
        <v>600</v>
      </c>
      <c r="F17" s="11">
        <v>0</v>
      </c>
      <c r="G17" s="25">
        <v>0.09</v>
      </c>
      <c r="H17" s="11">
        <f t="shared" si="8"/>
        <v>625</v>
      </c>
      <c r="I17" s="11">
        <f t="shared" si="8"/>
        <v>950</v>
      </c>
      <c r="J17" s="11">
        <f t="shared" si="9"/>
        <v>1295</v>
      </c>
      <c r="K17" s="11">
        <v>0</v>
      </c>
      <c r="L17" s="11">
        <f t="shared" si="10"/>
        <v>296</v>
      </c>
      <c r="M17" s="11">
        <f t="shared" ref="M17:M19" si="14">IF($A$8="USD",232,(IF($A$8="EUR",ROUND(232/1.4,9),ROUND(232*0.6,0))))</f>
        <v>232</v>
      </c>
      <c r="N17" s="11">
        <f>IF($A$8="USD",434,(IF($A$8="EUR",ROUND(434/1.4,9),ROUND(434*0.6,0))))</f>
        <v>434</v>
      </c>
      <c r="O17" s="11">
        <f>IF($A$8="USD",406,(IF($A$8="EUR",ROUND(406/1.4,9),ROUND(406*0.6,0))))</f>
        <v>406</v>
      </c>
      <c r="P17" s="11"/>
      <c r="Q17" s="11">
        <f>IF($A$8="USD",3414,(IF($A$8="EUR",ROUND(3414/1.4,9),ROUND(3414*0.6,0))))</f>
        <v>3414</v>
      </c>
      <c r="R17" s="11"/>
      <c r="S17" s="12">
        <f>IF($A$8="USD",3165,(IF($A$8="EUR",ROUND(3165/1.4,9),ROUND(3165*0.6,0))))</f>
        <v>3165</v>
      </c>
      <c r="T17" s="12" t="s">
        <v>6</v>
      </c>
      <c r="U17" s="44">
        <v>1</v>
      </c>
      <c r="V17" s="30" t="s">
        <v>2</v>
      </c>
      <c r="W17" s="28" t="s">
        <v>10</v>
      </c>
      <c r="X17" s="27" t="s">
        <v>28</v>
      </c>
      <c r="Y17" s="27"/>
      <c r="Z17" s="27"/>
    </row>
    <row r="18" spans="1:26" hidden="1" x14ac:dyDescent="0.25">
      <c r="C18" s="29" t="s">
        <v>57</v>
      </c>
      <c r="D18" s="11">
        <f>IF($A$8="EUR",5850,(IF($A$8="GBP",5095,8995)))</f>
        <v>8995</v>
      </c>
      <c r="E18" s="11">
        <f>IF($A$8="USD",890,(IF($A$8="EUR",ROUND(890/1.4,9),395)))</f>
        <v>890</v>
      </c>
      <c r="F18" s="11">
        <v>0</v>
      </c>
      <c r="G18" s="25">
        <v>0.09</v>
      </c>
      <c r="H18" s="11">
        <f t="shared" si="8"/>
        <v>625</v>
      </c>
      <c r="I18" s="11">
        <f t="shared" si="8"/>
        <v>950</v>
      </c>
      <c r="J18" s="11">
        <f>IF($A$8="USD",995,(IF($A$8="EUR",ROUND(995/1.4,9),ROUND(995*0.6,0))))</f>
        <v>995</v>
      </c>
      <c r="K18" s="11">
        <v>0</v>
      </c>
      <c r="L18" s="11">
        <f t="shared" si="10"/>
        <v>296</v>
      </c>
      <c r="M18" s="11">
        <f t="shared" si="14"/>
        <v>232</v>
      </c>
      <c r="N18" s="11">
        <f>IF($A$8="USD",507,(IF($A$8="EUR",ROUND(507/1.4,9),ROUND(507*0.6,0))))</f>
        <v>507</v>
      </c>
      <c r="O18" s="11">
        <f>IF($A$8="USD",528,(IF($A$8="EUR",ROUND(528/1.4,9),ROUND(528*0.6,0))))</f>
        <v>528</v>
      </c>
      <c r="P18" s="11"/>
      <c r="Q18" s="11">
        <f>IF($A$8="USD",3414,(IF($A$8="EUR",ROUND(3414/1.4,9),ROUND(3414*0.6,0))))</f>
        <v>3414</v>
      </c>
      <c r="R18" s="11"/>
      <c r="S18" s="12">
        <f>IF($A$8="USD",3915,(IF($A$8="EUR",ROUND(3915/1.4,9),ROUND(3915*0.6,0))))</f>
        <v>3915</v>
      </c>
      <c r="T18" s="12" t="s">
        <v>6</v>
      </c>
      <c r="U18" s="44">
        <v>2</v>
      </c>
      <c r="V18" s="30" t="s">
        <v>2</v>
      </c>
      <c r="W18" s="28" t="s">
        <v>10</v>
      </c>
      <c r="X18" s="27" t="s">
        <v>28</v>
      </c>
    </row>
    <row r="19" spans="1:26" ht="1.5" hidden="1" customHeight="1" thickBot="1" x14ac:dyDescent="0.3">
      <c r="A19" s="67" t="s">
        <v>59</v>
      </c>
      <c r="B19" s="68" t="s">
        <v>67</v>
      </c>
      <c r="C19" s="31" t="s">
        <v>58</v>
      </c>
      <c r="D19" s="32">
        <f>IF($A$8="EUR",6670,(IF($A$8="GBP",5995,9995)))</f>
        <v>9995</v>
      </c>
      <c r="E19" s="32">
        <f>IF($A$8="USD",890,(IF($A$8="EUR",ROUND(890/1.4,9),395)))</f>
        <v>890</v>
      </c>
      <c r="F19" s="32">
        <v>0</v>
      </c>
      <c r="G19" s="37">
        <v>0.09</v>
      </c>
      <c r="H19" s="32">
        <f t="shared" si="8"/>
        <v>625</v>
      </c>
      <c r="I19" s="32">
        <f t="shared" si="8"/>
        <v>950</v>
      </c>
      <c r="J19" s="32">
        <v>995</v>
      </c>
      <c r="K19" s="32">
        <v>0</v>
      </c>
      <c r="L19" s="32">
        <f t="shared" si="10"/>
        <v>296</v>
      </c>
      <c r="M19" s="32">
        <f t="shared" si="14"/>
        <v>232</v>
      </c>
      <c r="N19" s="32">
        <f>IF($A$8="USD",507,(IF($A$8="EUR",ROUND(507/1.4,9),ROUND(507*0.6,0))))</f>
        <v>507</v>
      </c>
      <c r="O19" s="32">
        <f>IF($A$8="USD",528,(IF($A$8="EUR",ROUND(528/1.4,9),ROUND(528*0.6,0))))</f>
        <v>528</v>
      </c>
      <c r="P19" s="32"/>
      <c r="Q19" s="32">
        <f>IF($A$8="USD",3414,(IF($A$8="EUR",ROUND(3414/1.4,9),ROUND(3414*0.6,0))))</f>
        <v>3414</v>
      </c>
      <c r="R19" s="32"/>
      <c r="S19" s="33">
        <f>IF($A$8="USD",3915,(IF($A$8="EUR",ROUND(3915/1.4,9),ROUND(3915*0.6,0))))</f>
        <v>3915</v>
      </c>
      <c r="T19" s="33" t="s">
        <v>6</v>
      </c>
      <c r="U19" s="45">
        <v>2</v>
      </c>
      <c r="V19" s="34" t="s">
        <v>2</v>
      </c>
      <c r="W19" s="28" t="s">
        <v>10</v>
      </c>
      <c r="X19" s="27" t="s">
        <v>28</v>
      </c>
    </row>
    <row r="20" spans="1:26" ht="1.5" customHeight="1" x14ac:dyDescent="0.25">
      <c r="G20" s="8" t="s">
        <v>23</v>
      </c>
      <c r="T20" s="9"/>
      <c r="U20" s="9"/>
    </row>
    <row r="23" spans="1:26" x14ac:dyDescent="0.25">
      <c r="T23" s="9"/>
      <c r="U23" s="9"/>
    </row>
  </sheetData>
  <sheetProtection password="C855" sheet="1" objects="1" scenarios="1" selectLockedCells="1" selectUnlockedCells="1"/>
  <hyperlinks>
    <hyperlink ref="W12" r:id="rId1"/>
    <hyperlink ref="W13" r:id="rId2"/>
    <hyperlink ref="W14" r:id="rId3"/>
    <hyperlink ref="W15" r:id="rId4"/>
    <hyperlink ref="W16" r:id="rId5"/>
    <hyperlink ref="W17" r:id="rId6"/>
    <hyperlink ref="W18" r:id="rId7"/>
    <hyperlink ref="W19" r:id="rId8"/>
    <hyperlink ref="W2" r:id="rId9"/>
    <hyperlink ref="X12" r:id="rId10"/>
    <hyperlink ref="W3" r:id="rId11"/>
    <hyperlink ref="W4" r:id="rId12"/>
    <hyperlink ref="W5" r:id="rId13"/>
    <hyperlink ref="W6" r:id="rId14"/>
    <hyperlink ref="W7" r:id="rId15"/>
    <hyperlink ref="W8" r:id="rId16"/>
    <hyperlink ref="W9" r:id="rId17"/>
    <hyperlink ref="W10" r:id="rId18"/>
    <hyperlink ref="W11" r:id="rId19"/>
  </hyperlinks>
  <pageMargins left="0.7" right="0.7" top="0.78740157499999996" bottom="0.78740157499999996" header="0.3" footer="0.3"/>
  <pageSetup paperSize="9" orientation="portrait" r:id="rId20"/>
  <legacy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Productivity Calculator</vt:lpstr>
      <vt:lpstr>Listen</vt:lpstr>
      <vt:lpstr>_2011_Image_Access._Click_here_to_see_scanner</vt:lpstr>
      <vt:lpstr>'Productivity Calculator'!Druckbereich</vt:lpstr>
    </vt:vector>
  </TitlesOfParts>
  <Company>Image Access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Cost of Ownership</dc:title>
  <dc:subject>Total cost of ownership calculator</dc:subject>
  <dc:creator>ingeth;T. Ingendoh</dc:creator>
  <cp:keywords>Cost Comparison Wide Format, WideTEK, Wider Format Scanner Price</cp:keywords>
  <cp:lastModifiedBy>Thomas Ingendoh</cp:lastModifiedBy>
  <cp:lastPrinted>2012-05-24T10:29:32Z</cp:lastPrinted>
  <dcterms:created xsi:type="dcterms:W3CDTF">2011-10-25T13:00:27Z</dcterms:created>
  <dcterms:modified xsi:type="dcterms:W3CDTF">2015-03-06T14:52:17Z</dcterms:modified>
</cp:coreProperties>
</file>